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19"/>
  </bookViews>
  <sheets>
    <sheet name="общая за 2023 г." sheetId="1" r:id="rId1"/>
    <sheet name="с 6б" sheetId="25" r:id="rId2"/>
    <sheet name="с 7" sheetId="26" r:id="rId3"/>
    <sheet name="с 7а" sheetId="27" r:id="rId4"/>
    <sheet name="с 8" sheetId="28" r:id="rId5"/>
    <sheet name="с 8а " sheetId="29" r:id="rId6"/>
    <sheet name="с 9" sheetId="30" r:id="rId7"/>
    <sheet name="с 9а " sheetId="31" r:id="rId8"/>
    <sheet name="с 6" sheetId="23" r:id="rId9"/>
    <sheet name="с 6а" sheetId="24" r:id="rId10"/>
    <sheet name="с 5" sheetId="21" r:id="rId11"/>
    <sheet name="с 5а" sheetId="22" r:id="rId12"/>
    <sheet name="с 16" sheetId="18" r:id="rId13"/>
    <sheet name="с 17" sheetId="19" r:id="rId14"/>
    <sheet name="с 3" sheetId="20" r:id="rId15"/>
    <sheet name="с 15" sheetId="17" r:id="rId16"/>
    <sheet name="с 12" sheetId="14" r:id="rId17"/>
    <sheet name="с 13" sheetId="15" r:id="rId18"/>
    <sheet name="с 14" sheetId="16" r:id="rId19"/>
    <sheet name="с 11" sheetId="13" r:id="rId20"/>
    <sheet name="с 10" sheetId="12" r:id="rId21"/>
    <sheet name="с 1а " sheetId="11" r:id="rId22"/>
    <sheet name="с 1" sheetId="10" r:id="rId23"/>
    <sheet name="в 1а" sheetId="3" r:id="rId24"/>
    <sheet name="в 2" sheetId="4" r:id="rId25"/>
    <sheet name="в 1б" sheetId="5" r:id="rId26"/>
    <sheet name="в 2а" sheetId="6" r:id="rId27"/>
    <sheet name="в 3" sheetId="7" r:id="rId28"/>
    <sheet name="в 3а" sheetId="8" r:id="rId29"/>
    <sheet name="в 1" sheetId="2" r:id="rId30"/>
    <sheet name="в 6" sheetId="9" r:id="rId31"/>
  </sheets>
  <definedNames>
    <definedName name="_xlnm.Print_Area" localSheetId="29">'в 1'!$A$1:$C$86</definedName>
    <definedName name="_xlnm.Print_Area" localSheetId="23">'в 1а'!$A$1:$C$86</definedName>
    <definedName name="_xlnm.Print_Area" localSheetId="25">'в 1б'!$A$1:$C$86</definedName>
    <definedName name="_xlnm.Print_Area" localSheetId="24">'в 2'!$A$1:$C$86</definedName>
    <definedName name="_xlnm.Print_Area" localSheetId="26">'в 2а'!$A$1:$C$86</definedName>
    <definedName name="_xlnm.Print_Area" localSheetId="27">'в 3'!$A$1:$C$87</definedName>
    <definedName name="_xlnm.Print_Area" localSheetId="28">'в 3а'!$A$1:$C$86</definedName>
    <definedName name="_xlnm.Print_Area" localSheetId="30">'в 6'!$A$1:$C$87</definedName>
    <definedName name="_xlnm.Print_Area" localSheetId="22">'с 1'!$A$1:$C$86</definedName>
    <definedName name="_xlnm.Print_Area" localSheetId="20">'с 10'!$A$1:$C$86</definedName>
    <definedName name="_xlnm.Print_Area" localSheetId="19">'с 11'!$A$1:$C$86</definedName>
    <definedName name="_xlnm.Print_Area" localSheetId="16">'с 12'!$A$1:$C$86</definedName>
    <definedName name="_xlnm.Print_Area" localSheetId="17">'с 13'!$A$1:$C$86</definedName>
    <definedName name="_xlnm.Print_Area" localSheetId="18">'с 14'!$A$1:$F$87</definedName>
    <definedName name="_xlnm.Print_Area" localSheetId="15">'с 15'!$A$1:$C$86</definedName>
    <definedName name="_xlnm.Print_Area" localSheetId="12">'с 16'!$A$1:$C$86</definedName>
    <definedName name="_xlnm.Print_Area" localSheetId="13">'с 17'!$A$1:$E$86</definedName>
    <definedName name="_xlnm.Print_Area" localSheetId="21">'с 1а '!$A$1:$C$86</definedName>
    <definedName name="_xlnm.Print_Area" localSheetId="14">'с 3'!$A$1:$C$86</definedName>
    <definedName name="_xlnm.Print_Area" localSheetId="10">'с 5'!$A$1:$C$87</definedName>
    <definedName name="_xlnm.Print_Area" localSheetId="11">'с 5а'!$A$1:$C$86</definedName>
    <definedName name="_xlnm.Print_Area" localSheetId="8">'с 6'!$A$1:$D$86</definedName>
    <definedName name="_xlnm.Print_Area" localSheetId="9">'с 6а'!$A$1:$C$86</definedName>
    <definedName name="_xlnm.Print_Area" localSheetId="3">'с 7а'!$A$1:$C$86</definedName>
    <definedName name="_xlnm.Print_Area" localSheetId="4">'с 8'!$A$1:$C$86</definedName>
    <definedName name="_xlnm.Print_Area" localSheetId="5">'с 8а '!$A$1:$C$87</definedName>
    <definedName name="_xlnm.Print_Area" localSheetId="6">'с 9'!$A$1:$C$86</definedName>
    <definedName name="_xlnm.Print_Area" localSheetId="7">'с 9а 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9" l="1"/>
  <c r="C66" i="9"/>
  <c r="C62" i="9" s="1"/>
  <c r="C59" i="9"/>
  <c r="C48" i="9"/>
  <c r="C41" i="9"/>
  <c r="C35" i="9"/>
  <c r="C34" i="9" s="1"/>
  <c r="C26" i="9"/>
  <c r="C25" i="9" s="1"/>
  <c r="C22" i="9" s="1"/>
  <c r="C85" i="9" s="1"/>
  <c r="C23" i="9"/>
  <c r="C16" i="9"/>
  <c r="C11" i="9"/>
  <c r="C10" i="9" s="1"/>
  <c r="C8" i="9"/>
  <c r="C69" i="2"/>
  <c r="C62" i="2" s="1"/>
  <c r="C66" i="2"/>
  <c r="C59" i="2"/>
  <c r="C48" i="2"/>
  <c r="C43" i="2"/>
  <c r="C42" i="2"/>
  <c r="C41" i="2" s="1"/>
  <c r="C35" i="2" s="1"/>
  <c r="C34" i="2" s="1"/>
  <c r="C31" i="2"/>
  <c r="C27" i="2"/>
  <c r="C26" i="2"/>
  <c r="C25" i="2"/>
  <c r="C23" i="2"/>
  <c r="C22" i="2" s="1"/>
  <c r="C16" i="2"/>
  <c r="C12" i="2"/>
  <c r="C10" i="2" s="1"/>
  <c r="C7" i="2" s="1"/>
  <c r="C21" i="2" s="1"/>
  <c r="C11" i="2"/>
  <c r="C8" i="2"/>
  <c r="C69" i="8"/>
  <c r="C66" i="8"/>
  <c r="C62" i="8" s="1"/>
  <c r="C59" i="8"/>
  <c r="C48" i="8"/>
  <c r="C43" i="8"/>
  <c r="C42" i="8"/>
  <c r="C41" i="8" s="1"/>
  <c r="C35" i="8" s="1"/>
  <c r="C34" i="8" s="1"/>
  <c r="C31" i="8"/>
  <c r="C26" i="8"/>
  <c r="C25" i="8"/>
  <c r="C23" i="8"/>
  <c r="C22" i="8"/>
  <c r="C16" i="8"/>
  <c r="C11" i="8"/>
  <c r="C10" i="8"/>
  <c r="C8" i="8"/>
  <c r="C7" i="8"/>
  <c r="C21" i="8" s="1"/>
  <c r="C69" i="7"/>
  <c r="C66" i="7"/>
  <c r="C62" i="7" s="1"/>
  <c r="C59" i="7"/>
  <c r="C48" i="7"/>
  <c r="C43" i="7"/>
  <c r="C42" i="7"/>
  <c r="C41" i="7" s="1"/>
  <c r="C35" i="7" s="1"/>
  <c r="C34" i="7" s="1"/>
  <c r="C31" i="7"/>
  <c r="C25" i="7"/>
  <c r="C23" i="7"/>
  <c r="C22" i="7"/>
  <c r="C16" i="7"/>
  <c r="C10" i="7"/>
  <c r="C8" i="7"/>
  <c r="C7" i="7" s="1"/>
  <c r="C21" i="7" s="1"/>
  <c r="C69" i="6"/>
  <c r="C62" i="6" s="1"/>
  <c r="C66" i="6"/>
  <c r="C59" i="6"/>
  <c r="C48" i="6"/>
  <c r="C43" i="6"/>
  <c r="C42" i="6"/>
  <c r="C41" i="6" s="1"/>
  <c r="C35" i="6" s="1"/>
  <c r="C34" i="6" s="1"/>
  <c r="C31" i="6"/>
  <c r="C25" i="6" s="1"/>
  <c r="C22" i="6" s="1"/>
  <c r="C85" i="6" s="1"/>
  <c r="C26" i="6"/>
  <c r="C23" i="6"/>
  <c r="C16" i="6"/>
  <c r="C10" i="6" s="1"/>
  <c r="C7" i="6" s="1"/>
  <c r="C11" i="6"/>
  <c r="C8" i="6"/>
  <c r="C69" i="5"/>
  <c r="C62" i="5" s="1"/>
  <c r="C66" i="5"/>
  <c r="C59" i="5"/>
  <c r="C48" i="5"/>
  <c r="C42" i="5"/>
  <c r="C41" i="5"/>
  <c r="C35" i="5" s="1"/>
  <c r="C34" i="5" s="1"/>
  <c r="C31" i="5"/>
  <c r="C26" i="5"/>
  <c r="C25" i="5" s="1"/>
  <c r="C23" i="5"/>
  <c r="C16" i="5"/>
  <c r="C11" i="5"/>
  <c r="C10" i="5" s="1"/>
  <c r="C8" i="5"/>
  <c r="C7" i="5" s="1"/>
  <c r="F8" i="1"/>
  <c r="G8" i="1"/>
  <c r="G7" i="1" s="1"/>
  <c r="G21" i="1" s="1"/>
  <c r="G10" i="1"/>
  <c r="F11" i="1"/>
  <c r="F10" i="1" s="1"/>
  <c r="F7" i="1" s="1"/>
  <c r="F16" i="1"/>
  <c r="G16" i="1"/>
  <c r="G22" i="1"/>
  <c r="F23" i="1"/>
  <c r="G23" i="1"/>
  <c r="G25" i="1"/>
  <c r="F26" i="1"/>
  <c r="F25" i="1" s="1"/>
  <c r="F31" i="1"/>
  <c r="G31" i="1"/>
  <c r="F42" i="1"/>
  <c r="F41" i="1" s="1"/>
  <c r="F35" i="1" s="1"/>
  <c r="G42" i="1"/>
  <c r="G41" i="1" s="1"/>
  <c r="G35" i="1" s="1"/>
  <c r="G45" i="1"/>
  <c r="F48" i="1"/>
  <c r="G48" i="1"/>
  <c r="F59" i="1"/>
  <c r="G59" i="1"/>
  <c r="F66" i="1"/>
  <c r="F62" i="1" s="1"/>
  <c r="F34" i="1" s="1"/>
  <c r="G66" i="1"/>
  <c r="F69" i="1"/>
  <c r="G69" i="1"/>
  <c r="G62" i="1" s="1"/>
  <c r="G34" i="1" s="1"/>
  <c r="C69" i="4"/>
  <c r="C62" i="4" s="1"/>
  <c r="C66" i="4"/>
  <c r="C59" i="4"/>
  <c r="C48" i="4"/>
  <c r="C45" i="4"/>
  <c r="C42" i="4"/>
  <c r="C41" i="4" s="1"/>
  <c r="C35" i="4" s="1"/>
  <c r="C34" i="4" s="1"/>
  <c r="C31" i="4"/>
  <c r="C25" i="4"/>
  <c r="C23" i="4"/>
  <c r="C22" i="4"/>
  <c r="C16" i="4"/>
  <c r="C10" i="4"/>
  <c r="C7" i="4" s="1"/>
  <c r="C21" i="4" s="1"/>
  <c r="C8" i="4"/>
  <c r="C69" i="3"/>
  <c r="C66" i="3"/>
  <c r="C62" i="3"/>
  <c r="C59" i="3"/>
  <c r="C48" i="3"/>
  <c r="C43" i="3"/>
  <c r="C42" i="3"/>
  <c r="C41" i="3" s="1"/>
  <c r="C35" i="3" s="1"/>
  <c r="C34" i="3" s="1"/>
  <c r="C31" i="3"/>
  <c r="C26" i="3"/>
  <c r="C25" i="3"/>
  <c r="C23" i="3"/>
  <c r="C22" i="3"/>
  <c r="C16" i="3"/>
  <c r="C11" i="3"/>
  <c r="C10" i="3"/>
  <c r="C8" i="3"/>
  <c r="C7" i="3"/>
  <c r="C21" i="3" s="1"/>
  <c r="C69" i="10"/>
  <c r="C62" i="10" s="1"/>
  <c r="C66" i="10"/>
  <c r="C59" i="10"/>
  <c r="C48" i="10"/>
  <c r="C42" i="10"/>
  <c r="C41" i="10"/>
  <c r="C35" i="10" s="1"/>
  <c r="C34" i="10" s="1"/>
  <c r="C31" i="10"/>
  <c r="C26" i="10"/>
  <c r="C25" i="10" s="1"/>
  <c r="C23" i="10"/>
  <c r="C16" i="10"/>
  <c r="C11" i="10"/>
  <c r="C10" i="10" s="1"/>
  <c r="C8" i="10"/>
  <c r="C69" i="11"/>
  <c r="C66" i="11"/>
  <c r="C62" i="11" s="1"/>
  <c r="C59" i="11"/>
  <c r="C48" i="11"/>
  <c r="C42" i="11"/>
  <c r="C41" i="11"/>
  <c r="C35" i="11" s="1"/>
  <c r="C34" i="11" s="1"/>
  <c r="C31" i="11"/>
  <c r="C25" i="11" s="1"/>
  <c r="C22" i="11" s="1"/>
  <c r="C23" i="11"/>
  <c r="C16" i="11"/>
  <c r="C10" i="11" s="1"/>
  <c r="C8" i="11"/>
  <c r="C7" i="11" s="1"/>
  <c r="C69" i="12"/>
  <c r="C66" i="12"/>
  <c r="C62" i="12" s="1"/>
  <c r="C59" i="12"/>
  <c r="C48" i="12"/>
  <c r="C42" i="12"/>
  <c r="C41" i="12"/>
  <c r="C35" i="12" s="1"/>
  <c r="C34" i="12" s="1"/>
  <c r="C31" i="12"/>
  <c r="C26" i="12"/>
  <c r="C25" i="12"/>
  <c r="C23" i="12"/>
  <c r="C22" i="12"/>
  <c r="C16" i="12"/>
  <c r="C11" i="12"/>
  <c r="C10" i="12" s="1"/>
  <c r="C7" i="12" s="1"/>
  <c r="C21" i="12" s="1"/>
  <c r="C8" i="12"/>
  <c r="C69" i="13"/>
  <c r="C62" i="13" s="1"/>
  <c r="C66" i="13"/>
  <c r="C59" i="13"/>
  <c r="C48" i="13"/>
  <c r="C42" i="13"/>
  <c r="C41" i="13"/>
  <c r="C35" i="13" s="1"/>
  <c r="C34" i="13" s="1"/>
  <c r="C31" i="13"/>
  <c r="C25" i="13"/>
  <c r="C22" i="13" s="1"/>
  <c r="C85" i="13" s="1"/>
  <c r="C23" i="13"/>
  <c r="C16" i="13"/>
  <c r="C10" i="13" s="1"/>
  <c r="C8" i="13"/>
  <c r="C69" i="16"/>
  <c r="C62" i="16" s="1"/>
  <c r="C66" i="16"/>
  <c r="C59" i="16"/>
  <c r="C48" i="16"/>
  <c r="C41" i="16"/>
  <c r="C35" i="16"/>
  <c r="C34" i="16" s="1"/>
  <c r="C31" i="16"/>
  <c r="C25" i="16" s="1"/>
  <c r="C23" i="16"/>
  <c r="C16" i="16"/>
  <c r="C10" i="16"/>
  <c r="C7" i="16" s="1"/>
  <c r="C8" i="16"/>
  <c r="C69" i="15"/>
  <c r="C66" i="15"/>
  <c r="C62" i="15" s="1"/>
  <c r="C59" i="15"/>
  <c r="C48" i="15"/>
  <c r="C41" i="15"/>
  <c r="C35" i="15" s="1"/>
  <c r="C34" i="15" s="1"/>
  <c r="C31" i="15"/>
  <c r="C25" i="15" s="1"/>
  <c r="C22" i="15" s="1"/>
  <c r="C85" i="15" s="1"/>
  <c r="C23" i="15"/>
  <c r="C16" i="15"/>
  <c r="C10" i="15"/>
  <c r="C7" i="15" s="1"/>
  <c r="C8" i="15"/>
  <c r="C69" i="14"/>
  <c r="C62" i="14" s="1"/>
  <c r="C66" i="14"/>
  <c r="C59" i="14"/>
  <c r="C48" i="14"/>
  <c r="C43" i="14"/>
  <c r="C41" i="14" s="1"/>
  <c r="C35" i="14" s="1"/>
  <c r="C34" i="14" s="1"/>
  <c r="C31" i="14"/>
  <c r="C26" i="14"/>
  <c r="C25" i="14" s="1"/>
  <c r="C22" i="14" s="1"/>
  <c r="C85" i="14" s="1"/>
  <c r="C23" i="14"/>
  <c r="C16" i="14"/>
  <c r="C11" i="14"/>
  <c r="C10" i="14" s="1"/>
  <c r="C8" i="14"/>
  <c r="C7" i="14" s="1"/>
  <c r="C69" i="17"/>
  <c r="C66" i="17"/>
  <c r="C62" i="17"/>
  <c r="C59" i="17"/>
  <c r="C48" i="17"/>
  <c r="C43" i="17"/>
  <c r="C42" i="17"/>
  <c r="C41" i="17" s="1"/>
  <c r="C35" i="17" s="1"/>
  <c r="C34" i="17" s="1"/>
  <c r="C31" i="17"/>
  <c r="C26" i="17"/>
  <c r="C25" i="17"/>
  <c r="C23" i="17"/>
  <c r="C22" i="17"/>
  <c r="C16" i="17"/>
  <c r="C11" i="17"/>
  <c r="C10" i="17"/>
  <c r="C8" i="17"/>
  <c r="C7" i="17"/>
  <c r="C21" i="17" s="1"/>
  <c r="F22" i="1" l="1"/>
  <c r="F21" i="1" s="1"/>
  <c r="G85" i="1"/>
  <c r="C7" i="9"/>
  <c r="C21" i="9" s="1"/>
  <c r="C85" i="2"/>
  <c r="C85" i="8"/>
  <c r="C85" i="7"/>
  <c r="C21" i="6"/>
  <c r="C22" i="5"/>
  <c r="C85" i="5" s="1"/>
  <c r="C85" i="4"/>
  <c r="C85" i="3"/>
  <c r="C7" i="10"/>
  <c r="C22" i="10"/>
  <c r="C85" i="10" s="1"/>
  <c r="C85" i="11"/>
  <c r="C21" i="11"/>
  <c r="C85" i="12"/>
  <c r="C7" i="13"/>
  <c r="C21" i="13" s="1"/>
  <c r="C22" i="16"/>
  <c r="C85" i="16" s="1"/>
  <c r="C21" i="16"/>
  <c r="C21" i="15"/>
  <c r="C21" i="14"/>
  <c r="C85" i="17"/>
  <c r="C69" i="20"/>
  <c r="C66" i="20"/>
  <c r="C62" i="20"/>
  <c r="C59" i="20"/>
  <c r="C48" i="20"/>
  <c r="C43" i="20"/>
  <c r="C42" i="20"/>
  <c r="C41" i="20" s="1"/>
  <c r="C35" i="20" s="1"/>
  <c r="C34" i="20" s="1"/>
  <c r="C31" i="20"/>
  <c r="C26" i="20"/>
  <c r="C25" i="20" s="1"/>
  <c r="C22" i="20" s="1"/>
  <c r="C23" i="20"/>
  <c r="C16" i="20"/>
  <c r="C11" i="20"/>
  <c r="C10" i="20"/>
  <c r="C8" i="20"/>
  <c r="C7" i="20" s="1"/>
  <c r="C21" i="20" s="1"/>
  <c r="C69" i="19"/>
  <c r="C66" i="19"/>
  <c r="C62" i="19"/>
  <c r="C59" i="19"/>
  <c r="C48" i="19"/>
  <c r="C42" i="19"/>
  <c r="C41" i="19"/>
  <c r="C35" i="19" s="1"/>
  <c r="C34" i="19" s="1"/>
  <c r="C31" i="19"/>
  <c r="C26" i="19"/>
  <c r="C25" i="19"/>
  <c r="C23" i="19"/>
  <c r="C22" i="19"/>
  <c r="C16" i="19"/>
  <c r="C11" i="19"/>
  <c r="C10" i="19" s="1"/>
  <c r="C7" i="19" s="1"/>
  <c r="C21" i="19" s="1"/>
  <c r="C8" i="19"/>
  <c r="C69" i="18"/>
  <c r="C66" i="18"/>
  <c r="C62" i="18"/>
  <c r="C59" i="18"/>
  <c r="C48" i="18"/>
  <c r="C43" i="18"/>
  <c r="C42" i="18"/>
  <c r="C41" i="18" s="1"/>
  <c r="C35" i="18" s="1"/>
  <c r="C34" i="18" s="1"/>
  <c r="C31" i="18"/>
  <c r="C25" i="18" s="1"/>
  <c r="C22" i="18" s="1"/>
  <c r="C23" i="18"/>
  <c r="C16" i="18"/>
  <c r="C10" i="18"/>
  <c r="C7" i="18" s="1"/>
  <c r="C8" i="18"/>
  <c r="C69" i="22"/>
  <c r="C66" i="22"/>
  <c r="C62" i="22"/>
  <c r="C59" i="22"/>
  <c r="C48" i="22"/>
  <c r="C42" i="22"/>
  <c r="C41" i="22"/>
  <c r="C35" i="22" s="1"/>
  <c r="C34" i="22" s="1"/>
  <c r="C26" i="22"/>
  <c r="C25" i="22"/>
  <c r="C23" i="22"/>
  <c r="C22" i="22" s="1"/>
  <c r="C11" i="22"/>
  <c r="C10" i="22" s="1"/>
  <c r="C7" i="22" s="1"/>
  <c r="C21" i="22" s="1"/>
  <c r="C8" i="22"/>
  <c r="C69" i="21"/>
  <c r="C66" i="21"/>
  <c r="C62" i="21"/>
  <c r="C59" i="21"/>
  <c r="C48" i="21"/>
  <c r="C42" i="21"/>
  <c r="C41" i="21"/>
  <c r="C35" i="21" s="1"/>
  <c r="C34" i="21" s="1"/>
  <c r="C26" i="21"/>
  <c r="C25" i="21"/>
  <c r="C23" i="21"/>
  <c r="C22" i="21"/>
  <c r="C11" i="21"/>
  <c r="C10" i="21" s="1"/>
  <c r="C8" i="21"/>
  <c r="C69" i="24"/>
  <c r="C66" i="24"/>
  <c r="C62" i="24" s="1"/>
  <c r="C59" i="24"/>
  <c r="C48" i="24"/>
  <c r="C43" i="24"/>
  <c r="C42" i="24"/>
  <c r="C41" i="24" s="1"/>
  <c r="C35" i="24" s="1"/>
  <c r="C34" i="24" s="1"/>
  <c r="C26" i="24"/>
  <c r="C25" i="24"/>
  <c r="C23" i="24"/>
  <c r="C22" i="24"/>
  <c r="C11" i="24"/>
  <c r="C10" i="24"/>
  <c r="C8" i="24"/>
  <c r="C7" i="24" s="1"/>
  <c r="C21" i="24" s="1"/>
  <c r="C69" i="23"/>
  <c r="C66" i="23"/>
  <c r="C62" i="23" s="1"/>
  <c r="C59" i="23"/>
  <c r="C48" i="23"/>
  <c r="C43" i="23"/>
  <c r="C42" i="23"/>
  <c r="C41" i="23" s="1"/>
  <c r="C35" i="23" s="1"/>
  <c r="C34" i="23" s="1"/>
  <c r="C25" i="23"/>
  <c r="C23" i="23"/>
  <c r="C22" i="23" s="1"/>
  <c r="C10" i="23"/>
  <c r="C7" i="23" s="1"/>
  <c r="C8" i="23"/>
  <c r="C69" i="31"/>
  <c r="C66" i="31"/>
  <c r="C62" i="31"/>
  <c r="C59" i="31"/>
  <c r="C48" i="31"/>
  <c r="C42" i="31"/>
  <c r="C41" i="31" s="1"/>
  <c r="C35" i="31" s="1"/>
  <c r="C34" i="31" s="1"/>
  <c r="C25" i="31"/>
  <c r="C23" i="31"/>
  <c r="C22" i="31" s="1"/>
  <c r="C10" i="31"/>
  <c r="C8" i="31"/>
  <c r="C7" i="31" s="1"/>
  <c r="C69" i="30"/>
  <c r="C66" i="30"/>
  <c r="C62" i="30" s="1"/>
  <c r="C59" i="30"/>
  <c r="C48" i="30"/>
  <c r="C41" i="30"/>
  <c r="C35" i="30"/>
  <c r="C26" i="30"/>
  <c r="C25" i="30" s="1"/>
  <c r="C22" i="30" s="1"/>
  <c r="C23" i="30"/>
  <c r="C11" i="30"/>
  <c r="C10" i="30" s="1"/>
  <c r="C7" i="30" s="1"/>
  <c r="C8" i="30"/>
  <c r="AF8" i="1"/>
  <c r="AG8" i="1"/>
  <c r="AF10" i="1"/>
  <c r="AF7" i="1" s="1"/>
  <c r="AG10" i="1"/>
  <c r="AG7" i="1" s="1"/>
  <c r="AF11" i="1"/>
  <c r="AF23" i="1"/>
  <c r="AG23" i="1"/>
  <c r="AG22" i="1" s="1"/>
  <c r="AG25" i="1"/>
  <c r="AF26" i="1"/>
  <c r="AF25" i="1" s="1"/>
  <c r="AF22" i="1" s="1"/>
  <c r="AF35" i="1"/>
  <c r="AF41" i="1"/>
  <c r="AG42" i="1"/>
  <c r="AG41" i="1" s="1"/>
  <c r="AG35" i="1" s="1"/>
  <c r="AF48" i="1"/>
  <c r="AG48" i="1"/>
  <c r="AF59" i="1"/>
  <c r="AG59" i="1"/>
  <c r="AF66" i="1"/>
  <c r="AG66" i="1"/>
  <c r="AF69" i="1"/>
  <c r="AF62" i="1" s="1"/>
  <c r="AG69" i="1"/>
  <c r="AG62" i="1" s="1"/>
  <c r="C69" i="29"/>
  <c r="C62" i="29" s="1"/>
  <c r="C66" i="29"/>
  <c r="C59" i="29"/>
  <c r="C48" i="29"/>
  <c r="C43" i="29"/>
  <c r="C42" i="29"/>
  <c r="C41" i="29" s="1"/>
  <c r="C35" i="29" s="1"/>
  <c r="C34" i="29" s="1"/>
  <c r="C26" i="29"/>
  <c r="C25" i="29"/>
  <c r="C23" i="29"/>
  <c r="C22" i="29"/>
  <c r="C11" i="29"/>
  <c r="C10" i="29"/>
  <c r="C7" i="29" s="1"/>
  <c r="C21" i="29" s="1"/>
  <c r="C8" i="29"/>
  <c r="C69" i="28"/>
  <c r="C66" i="28"/>
  <c r="C62" i="28" s="1"/>
  <c r="C59" i="28"/>
  <c r="C48" i="28"/>
  <c r="C42" i="28"/>
  <c r="C41" i="28" s="1"/>
  <c r="C35" i="28" s="1"/>
  <c r="C34" i="28" s="1"/>
  <c r="C26" i="28"/>
  <c r="C25" i="28"/>
  <c r="C23" i="28"/>
  <c r="C22" i="28" s="1"/>
  <c r="C11" i="28"/>
  <c r="C10" i="28" s="1"/>
  <c r="C7" i="28" s="1"/>
  <c r="C8" i="28"/>
  <c r="AG34" i="1" l="1"/>
  <c r="AG85" i="1" s="1"/>
  <c r="AG21" i="1"/>
  <c r="AF21" i="1"/>
  <c r="AF34" i="1"/>
  <c r="AF85" i="1" s="1"/>
  <c r="F85" i="1"/>
  <c r="C21" i="5"/>
  <c r="C21" i="10"/>
  <c r="C85" i="20"/>
  <c r="C85" i="19"/>
  <c r="C21" i="18"/>
  <c r="C85" i="18"/>
  <c r="C85" i="22"/>
  <c r="C7" i="21"/>
  <c r="C21" i="21" s="1"/>
  <c r="C85" i="21"/>
  <c r="C85" i="24"/>
  <c r="C85" i="23"/>
  <c r="C21" i="23"/>
  <c r="C85" i="31"/>
  <c r="C21" i="31"/>
  <c r="C21" i="30"/>
  <c r="C34" i="30"/>
  <c r="C85" i="30" s="1"/>
  <c r="C85" i="29"/>
  <c r="C85" i="28"/>
  <c r="C21" i="28"/>
  <c r="C69" i="27"/>
  <c r="C66" i="27"/>
  <c r="C62" i="27"/>
  <c r="C59" i="27"/>
  <c r="C48" i="27"/>
  <c r="C42" i="27"/>
  <c r="C41" i="27" s="1"/>
  <c r="C35" i="27" s="1"/>
  <c r="C34" i="27" s="1"/>
  <c r="C25" i="27"/>
  <c r="C23" i="27"/>
  <c r="C22" i="27" s="1"/>
  <c r="C10" i="27"/>
  <c r="C8" i="27"/>
  <c r="C7" i="27" s="1"/>
  <c r="C69" i="26"/>
  <c r="C66" i="26"/>
  <c r="C62" i="26" s="1"/>
  <c r="C59" i="26"/>
  <c r="C48" i="26"/>
  <c r="C42" i="26"/>
  <c r="C41" i="26"/>
  <c r="C35" i="26" s="1"/>
  <c r="C34" i="26" s="1"/>
  <c r="C26" i="26"/>
  <c r="C25" i="26" s="1"/>
  <c r="C23" i="26"/>
  <c r="C11" i="26"/>
  <c r="C10" i="26" s="1"/>
  <c r="C8" i="26"/>
  <c r="C7" i="26" s="1"/>
  <c r="C69" i="25"/>
  <c r="C66" i="25"/>
  <c r="C62" i="25"/>
  <c r="C59" i="25"/>
  <c r="C48" i="25"/>
  <c r="C43" i="25"/>
  <c r="C42" i="25"/>
  <c r="C41" i="25" s="1"/>
  <c r="C35" i="25" s="1"/>
  <c r="C34" i="25" s="1"/>
  <c r="C25" i="25"/>
  <c r="C23" i="25"/>
  <c r="C22" i="25"/>
  <c r="C10" i="25"/>
  <c r="C7" i="25" s="1"/>
  <c r="C21" i="25" s="1"/>
  <c r="C8" i="25"/>
  <c r="C58" i="1"/>
  <c r="C57" i="1"/>
  <c r="C85" i="27" l="1"/>
  <c r="C21" i="27"/>
  <c r="C22" i="26"/>
  <c r="C85" i="26" s="1"/>
  <c r="C21" i="26"/>
  <c r="C85" i="25"/>
  <c r="D27" i="1"/>
  <c r="C33" i="1"/>
  <c r="C20" i="1"/>
  <c r="C17" i="1"/>
  <c r="C77" i="1" l="1"/>
  <c r="K41" i="1" l="1"/>
  <c r="Q41" i="1"/>
  <c r="R41" i="1"/>
  <c r="D48" i="1"/>
  <c r="E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C56" i="1" l="1"/>
  <c r="C55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D23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E8" i="1"/>
  <c r="D8" i="1"/>
  <c r="AA43" i="1"/>
  <c r="V43" i="1"/>
  <c r="T43" i="1"/>
  <c r="S43" i="1"/>
  <c r="P43" i="1"/>
  <c r="P41" i="1" s="1"/>
  <c r="J43" i="1"/>
  <c r="H43" i="1"/>
  <c r="E43" i="1"/>
  <c r="D43" i="1"/>
  <c r="Y42" i="1"/>
  <c r="Y41" i="1" s="1"/>
  <c r="X42" i="1"/>
  <c r="X41" i="1" s="1"/>
  <c r="M42" i="1"/>
  <c r="M41" i="1" s="1"/>
  <c r="J42" i="1"/>
  <c r="I42" i="1"/>
  <c r="H42" i="1"/>
  <c r="H41" i="1" s="1"/>
  <c r="E42" i="1"/>
  <c r="E41" i="1" s="1"/>
  <c r="D42" i="1"/>
  <c r="D41" i="1" s="1"/>
  <c r="N42" i="1"/>
  <c r="N41" i="1" s="1"/>
  <c r="O42" i="1"/>
  <c r="O41" i="1" s="1"/>
  <c r="S42" i="1"/>
  <c r="S41" i="1" s="1"/>
  <c r="T42" i="1"/>
  <c r="U42" i="1"/>
  <c r="U41" i="1" s="1"/>
  <c r="V42" i="1"/>
  <c r="V41" i="1" s="1"/>
  <c r="W42" i="1"/>
  <c r="W41" i="1" s="1"/>
  <c r="Z42" i="1"/>
  <c r="AA42" i="1"/>
  <c r="AA41" i="1" s="1"/>
  <c r="AB42" i="1"/>
  <c r="AB41" i="1" s="1"/>
  <c r="AC42" i="1"/>
  <c r="AC41" i="1" s="1"/>
  <c r="AE42" i="1"/>
  <c r="T41" i="1" l="1"/>
  <c r="J41" i="1"/>
  <c r="I25" i="1"/>
  <c r="K25" i="1"/>
  <c r="R25" i="1"/>
  <c r="Z25" i="1"/>
  <c r="AA25" i="1"/>
  <c r="AC25" i="1"/>
  <c r="V31" i="1"/>
  <c r="U31" i="1"/>
  <c r="T31" i="1"/>
  <c r="T25" i="1" s="1"/>
  <c r="S31" i="1"/>
  <c r="S25" i="1" s="1"/>
  <c r="R31" i="1"/>
  <c r="Q31" i="1"/>
  <c r="Q25" i="1" s="1"/>
  <c r="P31" i="1"/>
  <c r="O31" i="1"/>
  <c r="O25" i="1" s="1"/>
  <c r="N31" i="1"/>
  <c r="M31" i="1"/>
  <c r="M25" i="1" s="1"/>
  <c r="L31" i="1"/>
  <c r="J31" i="1"/>
  <c r="I31" i="1"/>
  <c r="H31" i="1"/>
  <c r="E31" i="1"/>
  <c r="D31" i="1"/>
  <c r="J26" i="1"/>
  <c r="J25" i="1" s="1"/>
  <c r="D26" i="1"/>
  <c r="D25" i="1" s="1"/>
  <c r="H26" i="1"/>
  <c r="H25" i="1" s="1"/>
  <c r="L26" i="1"/>
  <c r="L25" i="1" s="1"/>
  <c r="K26" i="1"/>
  <c r="E26" i="1"/>
  <c r="AE26" i="1"/>
  <c r="AE25" i="1" s="1"/>
  <c r="AD26" i="1"/>
  <c r="AD25" i="1" s="1"/>
  <c r="AB26" i="1"/>
  <c r="AB25" i="1" s="1"/>
  <c r="Z26" i="1"/>
  <c r="Y26" i="1"/>
  <c r="Y25" i="1" s="1"/>
  <c r="X26" i="1"/>
  <c r="X25" i="1" s="1"/>
  <c r="W26" i="1"/>
  <c r="W25" i="1" s="1"/>
  <c r="V26" i="1"/>
  <c r="V25" i="1" s="1"/>
  <c r="U26" i="1"/>
  <c r="U25" i="1" s="1"/>
  <c r="S26" i="1"/>
  <c r="P26" i="1"/>
  <c r="N26" i="1"/>
  <c r="N25" i="1" s="1"/>
  <c r="C32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D16" i="1"/>
  <c r="C27" i="1"/>
  <c r="D12" i="1"/>
  <c r="P25" i="1" l="1"/>
  <c r="E25" i="1"/>
  <c r="C31" i="1"/>
  <c r="C26" i="1"/>
  <c r="D11" i="1" l="1"/>
  <c r="H11" i="1"/>
  <c r="J11" i="1"/>
  <c r="K11" i="1"/>
  <c r="L11" i="1"/>
  <c r="N11" i="1"/>
  <c r="P11" i="1"/>
  <c r="S11" i="1"/>
  <c r="U11" i="1"/>
  <c r="V11" i="1"/>
  <c r="W11" i="1"/>
  <c r="X11" i="1"/>
  <c r="Y11" i="1"/>
  <c r="Z11" i="1"/>
  <c r="AB11" i="1"/>
  <c r="AD11" i="1"/>
  <c r="AE11" i="1"/>
  <c r="E11" i="1"/>
  <c r="C46" i="1" l="1"/>
  <c r="C53" i="1"/>
  <c r="AE43" i="1" l="1"/>
  <c r="AE41" i="1" s="1"/>
  <c r="L42" i="1"/>
  <c r="L41" i="1" s="1"/>
  <c r="AD42" i="1"/>
  <c r="AD41" i="1" s="1"/>
  <c r="Z43" i="1" l="1"/>
  <c r="Z41" i="1" s="1"/>
  <c r="I43" i="1"/>
  <c r="I41" i="1" s="1"/>
  <c r="N10" i="1" l="1"/>
  <c r="N7" i="1" s="1"/>
  <c r="O10" i="1"/>
  <c r="O7" i="1" s="1"/>
  <c r="N22" i="1"/>
  <c r="O22" i="1"/>
  <c r="N59" i="1"/>
  <c r="O59" i="1"/>
  <c r="N66" i="1"/>
  <c r="O66" i="1"/>
  <c r="N69" i="1"/>
  <c r="O69" i="1"/>
  <c r="J10" i="1"/>
  <c r="J7" i="1" s="1"/>
  <c r="K10" i="1"/>
  <c r="K7" i="1" s="1"/>
  <c r="J22" i="1"/>
  <c r="K22" i="1"/>
  <c r="J59" i="1"/>
  <c r="K59" i="1"/>
  <c r="J66" i="1"/>
  <c r="K66" i="1"/>
  <c r="J69" i="1"/>
  <c r="K69" i="1"/>
  <c r="C18" i="1"/>
  <c r="C12" i="1"/>
  <c r="C11" i="1"/>
  <c r="D66" i="1"/>
  <c r="E66" i="1"/>
  <c r="H66" i="1"/>
  <c r="I66" i="1"/>
  <c r="L66" i="1"/>
  <c r="M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N62" i="1" l="1"/>
  <c r="O62" i="1"/>
  <c r="J62" i="1"/>
  <c r="K62" i="1"/>
  <c r="O21" i="1"/>
  <c r="J35" i="1"/>
  <c r="K35" i="1"/>
  <c r="O35" i="1"/>
  <c r="N35" i="1"/>
  <c r="N34" i="1" s="1"/>
  <c r="N85" i="1" s="1"/>
  <c r="N21" i="1"/>
  <c r="J21" i="1"/>
  <c r="K21" i="1"/>
  <c r="O34" i="1" l="1"/>
  <c r="O85" i="1" s="1"/>
  <c r="K34" i="1"/>
  <c r="K85" i="1" s="1"/>
  <c r="J34" i="1"/>
  <c r="J85" i="1" s="1"/>
  <c r="C86" i="1"/>
  <c r="C84" i="1" l="1"/>
  <c r="C83" i="1"/>
  <c r="C82" i="1"/>
  <c r="C81" i="1"/>
  <c r="C80" i="1"/>
  <c r="C79" i="1"/>
  <c r="C78" i="1"/>
  <c r="C76" i="1"/>
  <c r="C75" i="1"/>
  <c r="C74" i="1"/>
  <c r="C73" i="1"/>
  <c r="C72" i="1"/>
  <c r="C71" i="1"/>
  <c r="C70" i="1"/>
  <c r="AE69" i="1"/>
  <c r="AE62" i="1" s="1"/>
  <c r="AD69" i="1"/>
  <c r="AD62" i="1" s="1"/>
  <c r="AC69" i="1"/>
  <c r="AC62" i="1" s="1"/>
  <c r="AB69" i="1"/>
  <c r="AB62" i="1" s="1"/>
  <c r="AA69" i="1"/>
  <c r="AA62" i="1" s="1"/>
  <c r="Z69" i="1"/>
  <c r="Z62" i="1" s="1"/>
  <c r="Y69" i="1"/>
  <c r="Y62" i="1" s="1"/>
  <c r="X69" i="1"/>
  <c r="X62" i="1" s="1"/>
  <c r="W69" i="1"/>
  <c r="W62" i="1" s="1"/>
  <c r="V69" i="1"/>
  <c r="V62" i="1" s="1"/>
  <c r="U69" i="1"/>
  <c r="U62" i="1" s="1"/>
  <c r="T69" i="1"/>
  <c r="T62" i="1" s="1"/>
  <c r="S69" i="1"/>
  <c r="R69" i="1"/>
  <c r="R62" i="1" s="1"/>
  <c r="Q69" i="1"/>
  <c r="Q62" i="1" s="1"/>
  <c r="P69" i="1"/>
  <c r="P62" i="1" s="1"/>
  <c r="M69" i="1"/>
  <c r="M62" i="1" s="1"/>
  <c r="L69" i="1"/>
  <c r="L62" i="1" s="1"/>
  <c r="I69" i="1"/>
  <c r="I62" i="1" s="1"/>
  <c r="H69" i="1"/>
  <c r="H62" i="1" s="1"/>
  <c r="E69" i="1"/>
  <c r="E62" i="1" s="1"/>
  <c r="D69" i="1"/>
  <c r="C68" i="1"/>
  <c r="C66" i="1" s="1"/>
  <c r="C65" i="1"/>
  <c r="C64" i="1"/>
  <c r="C63" i="1"/>
  <c r="C61" i="1"/>
  <c r="C60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M59" i="1"/>
  <c r="L59" i="1"/>
  <c r="I59" i="1"/>
  <c r="H59" i="1"/>
  <c r="E59" i="1"/>
  <c r="D59" i="1"/>
  <c r="C54" i="1"/>
  <c r="C51" i="1"/>
  <c r="C50" i="1"/>
  <c r="C49" i="1"/>
  <c r="C47" i="1"/>
  <c r="C45" i="1"/>
  <c r="C43" i="1"/>
  <c r="C42" i="1"/>
  <c r="C40" i="1"/>
  <c r="C39" i="1"/>
  <c r="C38" i="1"/>
  <c r="C37" i="1"/>
  <c r="C30" i="1"/>
  <c r="C29" i="1"/>
  <c r="C28" i="1"/>
  <c r="AC22" i="1"/>
  <c r="AA22" i="1"/>
  <c r="X22" i="1"/>
  <c r="U22" i="1"/>
  <c r="P22" i="1"/>
  <c r="M22" i="1"/>
  <c r="H22" i="1"/>
  <c r="E22" i="1"/>
  <c r="C23" i="1"/>
  <c r="AE22" i="1"/>
  <c r="AD22" i="1"/>
  <c r="AB22" i="1"/>
  <c r="Z22" i="1"/>
  <c r="Y22" i="1"/>
  <c r="W22" i="1"/>
  <c r="V22" i="1"/>
  <c r="T22" i="1"/>
  <c r="S22" i="1"/>
  <c r="R22" i="1"/>
  <c r="Q22" i="1"/>
  <c r="L22" i="1"/>
  <c r="I22" i="1"/>
  <c r="D22" i="1"/>
  <c r="C16" i="1"/>
  <c r="C15" i="1"/>
  <c r="C13" i="1"/>
  <c r="AE10" i="1"/>
  <c r="AE7" i="1" s="1"/>
  <c r="AD10" i="1"/>
  <c r="AD7" i="1" s="1"/>
  <c r="AC10" i="1"/>
  <c r="AC7" i="1" s="1"/>
  <c r="AB10" i="1"/>
  <c r="AB7" i="1" s="1"/>
  <c r="AA10" i="1"/>
  <c r="AA7" i="1" s="1"/>
  <c r="Z10" i="1"/>
  <c r="Z7" i="1" s="1"/>
  <c r="Y10" i="1"/>
  <c r="Y7" i="1" s="1"/>
  <c r="X10" i="1"/>
  <c r="X7" i="1" s="1"/>
  <c r="W10" i="1"/>
  <c r="W7" i="1" s="1"/>
  <c r="V10" i="1"/>
  <c r="V7" i="1" s="1"/>
  <c r="U10" i="1"/>
  <c r="U7" i="1" s="1"/>
  <c r="T10" i="1"/>
  <c r="T7" i="1" s="1"/>
  <c r="S10" i="1"/>
  <c r="S7" i="1" s="1"/>
  <c r="R10" i="1"/>
  <c r="R7" i="1" s="1"/>
  <c r="Q10" i="1"/>
  <c r="Q7" i="1" s="1"/>
  <c r="M10" i="1"/>
  <c r="M7" i="1" s="1"/>
  <c r="L10" i="1"/>
  <c r="L7" i="1" s="1"/>
  <c r="I10" i="1"/>
  <c r="I7" i="1" s="1"/>
  <c r="H10" i="1"/>
  <c r="H7" i="1" s="1"/>
  <c r="E10" i="1"/>
  <c r="E7" i="1" s="1"/>
  <c r="D10" i="1"/>
  <c r="C8" i="1"/>
  <c r="C6" i="1"/>
  <c r="C25" i="1" l="1"/>
  <c r="C22" i="1" s="1"/>
  <c r="C69" i="1"/>
  <c r="C62" i="1" s="1"/>
  <c r="C48" i="1"/>
  <c r="C10" i="1"/>
  <c r="C41" i="1"/>
  <c r="D62" i="1"/>
  <c r="AC21" i="1"/>
  <c r="P35" i="1"/>
  <c r="P34" i="1" s="1"/>
  <c r="P85" i="1" s="1"/>
  <c r="E35" i="1"/>
  <c r="E34" i="1" s="1"/>
  <c r="E85" i="1" s="1"/>
  <c r="AC35" i="1"/>
  <c r="AC34" i="1" s="1"/>
  <c r="AC85" i="1" s="1"/>
  <c r="S62" i="1"/>
  <c r="H35" i="1"/>
  <c r="I35" i="1"/>
  <c r="Y35" i="1"/>
  <c r="Y34" i="1" s="1"/>
  <c r="Y85" i="1" s="1"/>
  <c r="C59" i="1"/>
  <c r="X35" i="1"/>
  <c r="S35" i="1"/>
  <c r="Q35" i="1"/>
  <c r="M35" i="1"/>
  <c r="Z35" i="1"/>
  <c r="U35" i="1"/>
  <c r="L35" i="1"/>
  <c r="AD35" i="1"/>
  <c r="AB35" i="1"/>
  <c r="AA35" i="1"/>
  <c r="V35" i="1"/>
  <c r="T35" i="1"/>
  <c r="R35" i="1"/>
  <c r="D35" i="1"/>
  <c r="W35" i="1"/>
  <c r="AE35" i="1"/>
  <c r="M21" i="1"/>
  <c r="AD21" i="1"/>
  <c r="AE21" i="1"/>
  <c r="W21" i="1"/>
  <c r="H21" i="1"/>
  <c r="R21" i="1"/>
  <c r="Z21" i="1"/>
  <c r="V21" i="1"/>
  <c r="U21" i="1"/>
  <c r="L21" i="1"/>
  <c r="E21" i="1"/>
  <c r="AB21" i="1"/>
  <c r="Y21" i="1"/>
  <c r="X21" i="1"/>
  <c r="T21" i="1"/>
  <c r="S21" i="1"/>
  <c r="Q21" i="1"/>
  <c r="I21" i="1"/>
  <c r="AA21" i="1"/>
  <c r="P10" i="1"/>
  <c r="P7" i="1" s="1"/>
  <c r="P21" i="1" s="1"/>
  <c r="S34" i="1" l="1"/>
  <c r="S85" i="1" s="1"/>
  <c r="T34" i="1"/>
  <c r="T85" i="1" s="1"/>
  <c r="V34" i="1"/>
  <c r="V85" i="1" s="1"/>
  <c r="Z34" i="1"/>
  <c r="Z85" i="1" s="1"/>
  <c r="W34" i="1"/>
  <c r="W85" i="1" s="1"/>
  <c r="AB34" i="1"/>
  <c r="AB85" i="1" s="1"/>
  <c r="Q34" i="1"/>
  <c r="Q85" i="1" s="1"/>
  <c r="I34" i="1"/>
  <c r="I85" i="1" s="1"/>
  <c r="AE34" i="1"/>
  <c r="AE85" i="1" s="1"/>
  <c r="M34" i="1"/>
  <c r="M85" i="1" s="1"/>
  <c r="AD34" i="1"/>
  <c r="AD85" i="1" s="1"/>
  <c r="U34" i="1"/>
  <c r="U85" i="1" s="1"/>
  <c r="H34" i="1"/>
  <c r="H85" i="1" s="1"/>
  <c r="X34" i="1"/>
  <c r="X85" i="1" s="1"/>
  <c r="AA34" i="1"/>
  <c r="AA85" i="1" s="1"/>
  <c r="R34" i="1"/>
  <c r="R85" i="1" s="1"/>
  <c r="L34" i="1"/>
  <c r="L85" i="1" s="1"/>
  <c r="D34" i="1"/>
  <c r="D85" i="1" s="1"/>
  <c r="C35" i="1"/>
  <c r="C34" i="1" s="1"/>
  <c r="C85" i="1" l="1"/>
  <c r="C7" i="1"/>
  <c r="C21" i="1" s="1"/>
  <c r="D7" i="1"/>
  <c r="D21" i="1" s="1"/>
</calcChain>
</file>

<file path=xl/sharedStrings.xml><?xml version="1.0" encoding="utf-8"?>
<sst xmlns="http://schemas.openxmlformats.org/spreadsheetml/2006/main" count="2759" uniqueCount="107">
  <si>
    <t>Восточный д.1</t>
  </si>
  <si>
    <t>Восточный  д.1Б</t>
  </si>
  <si>
    <t>Восточный  д.2</t>
  </si>
  <si>
    <t>Солнечный  д.1а</t>
  </si>
  <si>
    <t>Солнечный  д.10</t>
  </si>
  <si>
    <t>Солнечный  д.11</t>
  </si>
  <si>
    <t>Солнечный  д.12</t>
  </si>
  <si>
    <t>Солнечный  д.13</t>
  </si>
  <si>
    <t>Солнечный  д.14</t>
  </si>
  <si>
    <t>Солнечный  д.15</t>
  </si>
  <si>
    <t>Солнечный  д.16</t>
  </si>
  <si>
    <t>Солнечный  д.17</t>
  </si>
  <si>
    <t>Солнечный  д.3</t>
  </si>
  <si>
    <t>Солнечный  д.5</t>
  </si>
  <si>
    <t>Солнечный  д.5а</t>
  </si>
  <si>
    <t>Солнечный  д.6</t>
  </si>
  <si>
    <t>Солнечный  д.6а</t>
  </si>
  <si>
    <t>Солнечный  д.6 б</t>
  </si>
  <si>
    <t>Солнечный  д.7</t>
  </si>
  <si>
    <t>Солнечный  д.7 а</t>
  </si>
  <si>
    <t>Солнечный  д.8</t>
  </si>
  <si>
    <t>Солнечный  д.8 а</t>
  </si>
  <si>
    <t>Солнечный  д.9</t>
  </si>
  <si>
    <t>Солнечный  д.9 а</t>
  </si>
  <si>
    <t>№п/п</t>
  </si>
  <si>
    <t>Наименование статей</t>
  </si>
  <si>
    <t>Сумма,т. Руб.</t>
  </si>
  <si>
    <t>площадь, м2</t>
  </si>
  <si>
    <t>ДОХОДЫ  по оплате</t>
  </si>
  <si>
    <t>Плата за содержание и ремонт жилищного фонда</t>
  </si>
  <si>
    <t>Электроэнергия (ОДН электроэнергия, ХВС,ГВС,ВО)</t>
  </si>
  <si>
    <t>Прочие доходы</t>
  </si>
  <si>
    <t>Техническое обслуживание  нежилых помещений</t>
  </si>
  <si>
    <t xml:space="preserve">Размещение оборудования </t>
  </si>
  <si>
    <t>Размещение ан. Фид. Уст. ТЕЛЕ 2(Т2 мобайл), размещение сот. связи ВЫМПЕЛКОМ</t>
  </si>
  <si>
    <t>Вознаграждение 4% по приему платежей по лифтам</t>
  </si>
  <si>
    <t>Доходы по доставке ЕПД</t>
  </si>
  <si>
    <t>За размещение рекл. щитов  "АРТ Информ"</t>
  </si>
  <si>
    <t>Платные услуги</t>
  </si>
  <si>
    <t xml:space="preserve">% оплаты </t>
  </si>
  <si>
    <t>ДОХОДЫ  по начислению</t>
  </si>
  <si>
    <t>РАСХОДЫ, всего по начислению</t>
  </si>
  <si>
    <t>Прямые расходы</t>
  </si>
  <si>
    <t>Обслуживание лифтов</t>
  </si>
  <si>
    <t>Обслуживание домофонов</t>
  </si>
  <si>
    <t>ФОТ рабочих</t>
  </si>
  <si>
    <t>Страховые взносы</t>
  </si>
  <si>
    <t>Материалы на содержание жилищного фонда и благоустройство придомовой территории</t>
  </si>
  <si>
    <t xml:space="preserve">Текущий ремонт </t>
  </si>
  <si>
    <t>Ремонт межпанельных швов</t>
  </si>
  <si>
    <t>Ремонт входных групп</t>
  </si>
  <si>
    <t>Услуги сторонних организаций(Услуги СЭС,услуги транспорта, талоны на мусор, ) на производственные нужды</t>
  </si>
  <si>
    <t>Транспортные расходы (сторонний)</t>
  </si>
  <si>
    <t>Ремонт приборов учета т/э</t>
  </si>
  <si>
    <t>Гос. Поверка тепловых счетчиков</t>
  </si>
  <si>
    <t>Дизинсекция</t>
  </si>
  <si>
    <t>Вывоз и захоронение ТОО</t>
  </si>
  <si>
    <t>Прочие прямые расходы</t>
  </si>
  <si>
    <t>Охрана труда</t>
  </si>
  <si>
    <t>Оплата бол. Листов за счет раб-ля</t>
  </si>
  <si>
    <t>Общеэксплуатационные расходы</t>
  </si>
  <si>
    <t>Услуги МУП РАЦ</t>
  </si>
  <si>
    <t>Фот Р С и С</t>
  </si>
  <si>
    <t>Расходы на содержание офиса</t>
  </si>
  <si>
    <t>Коммунальные услуги</t>
  </si>
  <si>
    <t>Прочие общеэксплуатационные расходы</t>
  </si>
  <si>
    <t>Компенсация транспорта</t>
  </si>
  <si>
    <t>Програмное обеспечение</t>
  </si>
  <si>
    <t>Размещение информационных материалов в СМИ</t>
  </si>
  <si>
    <t>Материалы ( канцтовары), заправка, ремонт картриджей</t>
  </si>
  <si>
    <t>Услуги почты</t>
  </si>
  <si>
    <t>Услуги банка</t>
  </si>
  <si>
    <t>Услуги  связи</t>
  </si>
  <si>
    <t>Сопровождение сайта</t>
  </si>
  <si>
    <t>Командировочные расходы</t>
  </si>
  <si>
    <t>Непредвиденные расходы</t>
  </si>
  <si>
    <t>Расчет по негативному воздействию на окружающую среду</t>
  </si>
  <si>
    <t>Налог  УСН</t>
  </si>
  <si>
    <t>Ремонт инженерных систем( сантехники и электрики)</t>
  </si>
  <si>
    <t>Восточный д.1 а</t>
  </si>
  <si>
    <t xml:space="preserve">Восточный  д.2 а </t>
  </si>
  <si>
    <t xml:space="preserve">Восточный  д 3 </t>
  </si>
  <si>
    <t xml:space="preserve">Восточный  д 3 а </t>
  </si>
  <si>
    <t>Солнечный     д. 1</t>
  </si>
  <si>
    <t xml:space="preserve">Восточный    д 6 </t>
  </si>
  <si>
    <r>
      <t xml:space="preserve">Финансовый результат                        </t>
    </r>
    <r>
      <rPr>
        <b/>
        <sz val="8"/>
        <rFont val="Arial"/>
        <family val="2"/>
        <charset val="204"/>
      </rPr>
      <t>(дох. по нач. - расх. по нач.)</t>
    </r>
  </si>
  <si>
    <t>ё</t>
  </si>
  <si>
    <t>Калькуляция  фактических  затрат за     2023 г. по начислению</t>
  </si>
  <si>
    <t>ИТОГО за     2023 г.</t>
  </si>
  <si>
    <t>Долг жильцов по оплате за техническое обслуживание на 01.01.2023г.</t>
  </si>
  <si>
    <t>Ремонт подъездов, замена окон</t>
  </si>
  <si>
    <t>Ремонт кровли, балконные козырьки</t>
  </si>
  <si>
    <t>Долг  по оплате за содержание и ремонт жилищного фонда  на  01.01.2024г.</t>
  </si>
  <si>
    <t>Установка пандуса</t>
  </si>
  <si>
    <t>Ремонт отмостки</t>
  </si>
  <si>
    <t>Затраты на энергоресурсы (крепость)</t>
  </si>
  <si>
    <t>Проверка вент. Каналов</t>
  </si>
  <si>
    <t>Система видеонаблюдения</t>
  </si>
  <si>
    <t>Юр. нотариальные услуги, гос. пошлины, штрафы</t>
  </si>
  <si>
    <t>Имущественный налог</t>
  </si>
  <si>
    <t>Аренда сервиса для сайта</t>
  </si>
  <si>
    <t>Непредвиденные доходы</t>
  </si>
  <si>
    <t>Пени</t>
  </si>
  <si>
    <t xml:space="preserve">Валка деревьев </t>
  </si>
  <si>
    <t>Страхование отв-ти  3-х лиц</t>
  </si>
  <si>
    <r>
      <t xml:space="preserve">Финансовый результат                        </t>
    </r>
    <r>
      <rPr>
        <b/>
        <sz val="8"/>
        <color theme="1"/>
        <rFont val="Arial"/>
        <family val="2"/>
        <charset val="204"/>
      </rPr>
      <t>(дох. по нач. - расх. по нач.)</t>
    </r>
  </si>
  <si>
    <t>Финансовый результат                        (дох. по нач. - расх. по нач.)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</si>
</sst>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р_."/>
  </numFmts>
  <fonts count="2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u/>
      <sz val="12"/>
      <name val="Times New Roman Cyr"/>
      <family val="1"/>
      <charset val="204"/>
    </font>
    <font>
      <b/>
      <sz val="14"/>
      <name val="Arial"/>
      <family val="2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b/>
      <sz val="12"/>
      <color theme="1"/>
      <name val="Times New Roman Cyr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 Cyr"/>
      <family val="1"/>
      <charset val="204"/>
    </font>
    <font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Arial"/>
      <family val="2"/>
      <charset val="204"/>
    </font>
    <font>
      <b/>
      <u/>
      <sz val="16"/>
      <color theme="1"/>
      <name val="Times New Roman Cyr"/>
      <family val="1"/>
      <charset val="204"/>
    </font>
    <font>
      <b/>
      <sz val="8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2" borderId="0" xfId="0" applyNumberFormat="1" applyFont="1" applyFill="1"/>
    <xf numFmtId="2" fontId="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Border="1" applyAlignment="1">
      <alignment vertical="center" wrapText="1"/>
    </xf>
    <xf numFmtId="2" fontId="16" fillId="2" borderId="0" xfId="0" applyNumberFormat="1" applyFont="1" applyFill="1" applyAlignment="1">
      <alignment horizontal="center" wrapText="1"/>
    </xf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Border="1"/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16" fillId="2" borderId="0" xfId="0" applyFont="1" applyFill="1" applyBorder="1"/>
    <xf numFmtId="164" fontId="16" fillId="2" borderId="0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left" vertical="center" wrapText="1"/>
    </xf>
    <xf numFmtId="2" fontId="19" fillId="2" borderId="1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/>
    <xf numFmtId="2" fontId="16" fillId="2" borderId="0" xfId="0" applyNumberFormat="1" applyFont="1" applyFill="1" applyBorder="1" applyAlignment="1">
      <alignment horizontal="center"/>
    </xf>
    <xf numFmtId="2" fontId="15" fillId="2" borderId="0" xfId="0" applyNumberFormat="1" applyFont="1" applyFill="1"/>
    <xf numFmtId="2" fontId="22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vertical="center" wrapText="1"/>
    </xf>
    <xf numFmtId="2" fontId="16" fillId="2" borderId="5" xfId="0" applyNumberFormat="1" applyFont="1" applyFill="1" applyBorder="1" applyAlignment="1">
      <alignment horizontal="center" vertical="center"/>
    </xf>
    <xf numFmtId="2" fontId="16" fillId="2" borderId="5" xfId="0" applyNumberFormat="1" applyFont="1" applyFill="1" applyBorder="1" applyAlignment="1">
      <alignment horizontal="center"/>
    </xf>
    <xf numFmtId="2" fontId="17" fillId="2" borderId="0" xfId="0" applyNumberFormat="1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164" fontId="24" fillId="2" borderId="0" xfId="0" applyNumberFormat="1" applyFont="1" applyFill="1" applyBorder="1" applyAlignment="1">
      <alignment horizontal="center"/>
    </xf>
    <xf numFmtId="164" fontId="23" fillId="2" borderId="0" xfId="0" applyNumberFormat="1" applyFont="1" applyFill="1" applyBorder="1" applyAlignment="1">
      <alignment horizontal="center"/>
    </xf>
    <xf numFmtId="0" fontId="25" fillId="2" borderId="0" xfId="0" applyFont="1" applyFill="1"/>
    <xf numFmtId="49" fontId="16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/>
    <xf numFmtId="2" fontId="2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2" fontId="28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/>
    </xf>
    <xf numFmtId="0" fontId="23" fillId="2" borderId="0" xfId="0" applyFont="1" applyFill="1"/>
    <xf numFmtId="165" fontId="28" fillId="2" borderId="1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/>
    </xf>
    <xf numFmtId="165" fontId="16" fillId="2" borderId="1" xfId="0" applyNumberFormat="1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/>
    </xf>
    <xf numFmtId="2" fontId="17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17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8"/>
  <sheetViews>
    <sheetView tabSelected="1" workbookViewId="0">
      <pane xSplit="4" ySplit="7" topLeftCell="E17" activePane="bottomRight" state="frozen"/>
      <selection pane="topRight" activeCell="E1" sqref="E1"/>
      <selection pane="bottomLeft" activeCell="A8" sqref="A8"/>
      <selection pane="bottomRight" activeCell="AJ5" sqref="AJ5"/>
    </sheetView>
  </sheetViews>
  <sheetFormatPr defaultRowHeight="15.75" x14ac:dyDescent="0.25"/>
  <cols>
    <col min="1" max="1" width="6.85546875" style="52" customWidth="1"/>
    <col min="2" max="2" width="47.5703125" style="55" customWidth="1"/>
    <col min="3" max="3" width="17.7109375" style="56" customWidth="1"/>
    <col min="4" max="4" width="15.42578125" style="55" customWidth="1"/>
    <col min="5" max="5" width="13.5703125" style="55" customWidth="1"/>
    <col min="6" max="6" width="13.85546875" style="55" customWidth="1"/>
    <col min="7" max="7" width="14.42578125" style="55" customWidth="1"/>
    <col min="8" max="8" width="12.5703125" style="55" customWidth="1"/>
    <col min="9" max="9" width="14.28515625" style="55" customWidth="1"/>
    <col min="10" max="10" width="14.140625" style="55" customWidth="1"/>
    <col min="11" max="11" width="14.42578125" style="55" customWidth="1"/>
    <col min="12" max="12" width="15.85546875" style="55" customWidth="1"/>
    <col min="13" max="13" width="13.28515625" style="55" customWidth="1"/>
    <col min="14" max="14" width="13.85546875" style="55" customWidth="1"/>
    <col min="15" max="15" width="14.140625" style="55" customWidth="1"/>
    <col min="16" max="16" width="13.140625" style="55" customWidth="1"/>
    <col min="17" max="18" width="13.28515625" style="55" customWidth="1"/>
    <col min="19" max="19" width="14.28515625" style="55" customWidth="1"/>
    <col min="20" max="20" width="13.28515625" style="55" customWidth="1"/>
    <col min="21" max="21" width="13.7109375" style="55" customWidth="1"/>
    <col min="22" max="22" width="13.42578125" style="55" customWidth="1"/>
    <col min="23" max="23" width="15.28515625" style="55" customWidth="1"/>
    <col min="24" max="24" width="13" style="55" customWidth="1"/>
    <col min="25" max="26" width="14.42578125" style="55" customWidth="1"/>
    <col min="27" max="27" width="13.5703125" style="55" customWidth="1"/>
    <col min="28" max="28" width="14.140625" style="55" customWidth="1"/>
    <col min="29" max="29" width="14" style="55" customWidth="1"/>
    <col min="30" max="30" width="14.7109375" style="55" customWidth="1"/>
    <col min="31" max="31" width="15" style="55" customWidth="1"/>
    <col min="32" max="32" width="14.85546875" style="55" customWidth="1"/>
    <col min="33" max="33" width="14" style="55" customWidth="1"/>
    <col min="34" max="40" width="9.140625" style="57"/>
    <col min="41" max="194" width="9.140625" style="55"/>
    <col min="195" max="195" width="10.85546875" style="55" customWidth="1"/>
    <col min="196" max="196" width="35.7109375" style="55" customWidth="1"/>
    <col min="197" max="198" width="0" style="55" hidden="1" customWidth="1"/>
    <col min="199" max="199" width="21.28515625" style="55" customWidth="1"/>
    <col min="200" max="200" width="13.42578125" style="55" customWidth="1"/>
    <col min="201" max="202" width="0" style="55" hidden="1" customWidth="1"/>
    <col min="203" max="203" width="10.42578125" style="55" customWidth="1"/>
    <col min="204" max="205" width="0" style="55" hidden="1" customWidth="1"/>
    <col min="206" max="206" width="12.42578125" style="55" customWidth="1"/>
    <col min="207" max="208" width="0" style="55" hidden="1" customWidth="1"/>
    <col min="209" max="209" width="10.42578125" style="55" customWidth="1"/>
    <col min="210" max="211" width="0" style="55" hidden="1" customWidth="1"/>
    <col min="212" max="212" width="11.140625" style="55" customWidth="1"/>
    <col min="213" max="214" width="0" style="55" hidden="1" customWidth="1"/>
    <col min="215" max="215" width="10.42578125" style="55" customWidth="1"/>
    <col min="216" max="217" width="0" style="55" hidden="1" customWidth="1"/>
    <col min="218" max="218" width="9.5703125" style="55" customWidth="1"/>
    <col min="219" max="220" width="0" style="55" hidden="1" customWidth="1"/>
    <col min="221" max="221" width="10.28515625" style="55" customWidth="1"/>
    <col min="222" max="223" width="0" style="55" hidden="1" customWidth="1"/>
    <col min="224" max="224" width="10.85546875" style="55" customWidth="1"/>
    <col min="225" max="226" width="0" style="55" hidden="1" customWidth="1"/>
    <col min="227" max="227" width="12.28515625" style="55" customWidth="1"/>
    <col min="228" max="229" width="0" style="55" hidden="1" customWidth="1"/>
    <col min="230" max="230" width="11.85546875" style="55" customWidth="1"/>
    <col min="231" max="232" width="0" style="55" hidden="1" customWidth="1"/>
    <col min="233" max="233" width="10.5703125" style="55" customWidth="1"/>
    <col min="234" max="235" width="0" style="55" hidden="1" customWidth="1"/>
    <col min="236" max="236" width="10.140625" style="55" customWidth="1"/>
    <col min="237" max="238" width="0" style="55" hidden="1" customWidth="1"/>
    <col min="239" max="239" width="10.140625" style="55" customWidth="1"/>
    <col min="240" max="241" width="0" style="55" hidden="1" customWidth="1"/>
    <col min="242" max="242" width="10.42578125" style="55" customWidth="1"/>
    <col min="243" max="244" width="0" style="55" hidden="1" customWidth="1"/>
    <col min="245" max="245" width="9.7109375" style="55" customWidth="1"/>
    <col min="246" max="247" width="0" style="55" hidden="1" customWidth="1"/>
    <col min="248" max="248" width="10" style="55" customWidth="1"/>
    <col min="249" max="250" width="0" style="55" hidden="1" customWidth="1"/>
    <col min="251" max="251" width="12.7109375" style="55" customWidth="1"/>
    <col min="252" max="253" width="0" style="55" hidden="1" customWidth="1"/>
    <col min="254" max="254" width="12.5703125" style="55" customWidth="1"/>
    <col min="255" max="256" width="0" style="55" hidden="1" customWidth="1"/>
    <col min="257" max="257" width="10.42578125" style="55" customWidth="1"/>
    <col min="258" max="259" width="0" style="55" hidden="1" customWidth="1"/>
    <col min="260" max="260" width="9.5703125" style="55" customWidth="1"/>
    <col min="261" max="262" width="0" style="55" hidden="1" customWidth="1"/>
    <col min="263" max="263" width="10.28515625" style="55" customWidth="1"/>
    <col min="264" max="265" width="0" style="55" hidden="1" customWidth="1"/>
    <col min="266" max="266" width="11" style="55" customWidth="1"/>
    <col min="267" max="268" width="0" style="55" hidden="1" customWidth="1"/>
    <col min="269" max="269" width="12.28515625" style="55" customWidth="1"/>
    <col min="270" max="271" width="0" style="55" hidden="1" customWidth="1"/>
    <col min="272" max="272" width="11.85546875" style="55" customWidth="1"/>
    <col min="273" max="274" width="0" style="55" hidden="1" customWidth="1"/>
    <col min="275" max="275" width="11" style="55" customWidth="1"/>
    <col min="276" max="277" width="0" style="55" hidden="1" customWidth="1"/>
    <col min="278" max="278" width="12.140625" style="55" customWidth="1"/>
    <col min="279" max="280" width="0" style="55" hidden="1" customWidth="1"/>
    <col min="281" max="281" width="11.28515625" style="55" customWidth="1"/>
    <col min="282" max="283" width="0" style="55" hidden="1" customWidth="1"/>
    <col min="284" max="284" width="11.28515625" style="55" customWidth="1"/>
    <col min="285" max="286" width="0" style="55" hidden="1" customWidth="1"/>
    <col min="287" max="287" width="10.5703125" style="55" customWidth="1"/>
    <col min="288" max="288" width="0" style="55" hidden="1" customWidth="1"/>
    <col min="289" max="450" width="9.140625" style="55"/>
    <col min="451" max="451" width="10.85546875" style="55" customWidth="1"/>
    <col min="452" max="452" width="35.7109375" style="55" customWidth="1"/>
    <col min="453" max="454" width="0" style="55" hidden="1" customWidth="1"/>
    <col min="455" max="455" width="21.28515625" style="55" customWidth="1"/>
    <col min="456" max="456" width="13.42578125" style="55" customWidth="1"/>
    <col min="457" max="458" width="0" style="55" hidden="1" customWidth="1"/>
    <col min="459" max="459" width="10.42578125" style="55" customWidth="1"/>
    <col min="460" max="461" width="0" style="55" hidden="1" customWidth="1"/>
    <col min="462" max="462" width="12.42578125" style="55" customWidth="1"/>
    <col min="463" max="464" width="0" style="55" hidden="1" customWidth="1"/>
    <col min="465" max="465" width="10.42578125" style="55" customWidth="1"/>
    <col min="466" max="467" width="0" style="55" hidden="1" customWidth="1"/>
    <col min="468" max="468" width="11.140625" style="55" customWidth="1"/>
    <col min="469" max="470" width="0" style="55" hidden="1" customWidth="1"/>
    <col min="471" max="471" width="10.42578125" style="55" customWidth="1"/>
    <col min="472" max="473" width="0" style="55" hidden="1" customWidth="1"/>
    <col min="474" max="474" width="9.5703125" style="55" customWidth="1"/>
    <col min="475" max="476" width="0" style="55" hidden="1" customWidth="1"/>
    <col min="477" max="477" width="10.28515625" style="55" customWidth="1"/>
    <col min="478" max="479" width="0" style="55" hidden="1" customWidth="1"/>
    <col min="480" max="480" width="10.85546875" style="55" customWidth="1"/>
    <col min="481" max="482" width="0" style="55" hidden="1" customWidth="1"/>
    <col min="483" max="483" width="12.28515625" style="55" customWidth="1"/>
    <col min="484" max="485" width="0" style="55" hidden="1" customWidth="1"/>
    <col min="486" max="486" width="11.85546875" style="55" customWidth="1"/>
    <col min="487" max="488" width="0" style="55" hidden="1" customWidth="1"/>
    <col min="489" max="489" width="10.5703125" style="55" customWidth="1"/>
    <col min="490" max="491" width="0" style="55" hidden="1" customWidth="1"/>
    <col min="492" max="492" width="10.140625" style="55" customWidth="1"/>
    <col min="493" max="494" width="0" style="55" hidden="1" customWidth="1"/>
    <col min="495" max="495" width="10.140625" style="55" customWidth="1"/>
    <col min="496" max="497" width="0" style="55" hidden="1" customWidth="1"/>
    <col min="498" max="498" width="10.42578125" style="55" customWidth="1"/>
    <col min="499" max="500" width="0" style="55" hidden="1" customWidth="1"/>
    <col min="501" max="501" width="9.7109375" style="55" customWidth="1"/>
    <col min="502" max="503" width="0" style="55" hidden="1" customWidth="1"/>
    <col min="504" max="504" width="10" style="55" customWidth="1"/>
    <col min="505" max="506" width="0" style="55" hidden="1" customWidth="1"/>
    <col min="507" max="507" width="12.7109375" style="55" customWidth="1"/>
    <col min="508" max="509" width="0" style="55" hidden="1" customWidth="1"/>
    <col min="510" max="510" width="12.5703125" style="55" customWidth="1"/>
    <col min="511" max="512" width="0" style="55" hidden="1" customWidth="1"/>
    <col min="513" max="513" width="10.42578125" style="55" customWidth="1"/>
    <col min="514" max="515" width="0" style="55" hidden="1" customWidth="1"/>
    <col min="516" max="516" width="9.5703125" style="55" customWidth="1"/>
    <col min="517" max="518" width="0" style="55" hidden="1" customWidth="1"/>
    <col min="519" max="519" width="10.28515625" style="55" customWidth="1"/>
    <col min="520" max="521" width="0" style="55" hidden="1" customWidth="1"/>
    <col min="522" max="522" width="11" style="55" customWidth="1"/>
    <col min="523" max="524" width="0" style="55" hidden="1" customWidth="1"/>
    <col min="525" max="525" width="12.28515625" style="55" customWidth="1"/>
    <col min="526" max="527" width="0" style="55" hidden="1" customWidth="1"/>
    <col min="528" max="528" width="11.85546875" style="55" customWidth="1"/>
    <col min="529" max="530" width="0" style="55" hidden="1" customWidth="1"/>
    <col min="531" max="531" width="11" style="55" customWidth="1"/>
    <col min="532" max="533" width="0" style="55" hidden="1" customWidth="1"/>
    <col min="534" max="534" width="12.140625" style="55" customWidth="1"/>
    <col min="535" max="536" width="0" style="55" hidden="1" customWidth="1"/>
    <col min="537" max="537" width="11.28515625" style="55" customWidth="1"/>
    <col min="538" max="539" width="0" style="55" hidden="1" customWidth="1"/>
    <col min="540" max="540" width="11.28515625" style="55" customWidth="1"/>
    <col min="541" max="542" width="0" style="55" hidden="1" customWidth="1"/>
    <col min="543" max="543" width="10.5703125" style="55" customWidth="1"/>
    <col min="544" max="544" width="0" style="55" hidden="1" customWidth="1"/>
    <col min="545" max="706" width="9.140625" style="55"/>
    <col min="707" max="707" width="10.85546875" style="55" customWidth="1"/>
    <col min="708" max="708" width="35.7109375" style="55" customWidth="1"/>
    <col min="709" max="710" width="0" style="55" hidden="1" customWidth="1"/>
    <col min="711" max="711" width="21.28515625" style="55" customWidth="1"/>
    <col min="712" max="712" width="13.42578125" style="55" customWidth="1"/>
    <col min="713" max="714" width="0" style="55" hidden="1" customWidth="1"/>
    <col min="715" max="715" width="10.42578125" style="55" customWidth="1"/>
    <col min="716" max="717" width="0" style="55" hidden="1" customWidth="1"/>
    <col min="718" max="718" width="12.42578125" style="55" customWidth="1"/>
    <col min="719" max="720" width="0" style="55" hidden="1" customWidth="1"/>
    <col min="721" max="721" width="10.42578125" style="55" customWidth="1"/>
    <col min="722" max="723" width="0" style="55" hidden="1" customWidth="1"/>
    <col min="724" max="724" width="11.140625" style="55" customWidth="1"/>
    <col min="725" max="726" width="0" style="55" hidden="1" customWidth="1"/>
    <col min="727" max="727" width="10.42578125" style="55" customWidth="1"/>
    <col min="728" max="729" width="0" style="55" hidden="1" customWidth="1"/>
    <col min="730" max="730" width="9.5703125" style="55" customWidth="1"/>
    <col min="731" max="732" width="0" style="55" hidden="1" customWidth="1"/>
    <col min="733" max="733" width="10.28515625" style="55" customWidth="1"/>
    <col min="734" max="735" width="0" style="55" hidden="1" customWidth="1"/>
    <col min="736" max="736" width="10.85546875" style="55" customWidth="1"/>
    <col min="737" max="738" width="0" style="55" hidden="1" customWidth="1"/>
    <col min="739" max="739" width="12.28515625" style="55" customWidth="1"/>
    <col min="740" max="741" width="0" style="55" hidden="1" customWidth="1"/>
    <col min="742" max="742" width="11.85546875" style="55" customWidth="1"/>
    <col min="743" max="744" width="0" style="55" hidden="1" customWidth="1"/>
    <col min="745" max="745" width="10.5703125" style="55" customWidth="1"/>
    <col min="746" max="747" width="0" style="55" hidden="1" customWidth="1"/>
    <col min="748" max="748" width="10.140625" style="55" customWidth="1"/>
    <col min="749" max="750" width="0" style="55" hidden="1" customWidth="1"/>
    <col min="751" max="751" width="10.140625" style="55" customWidth="1"/>
    <col min="752" max="753" width="0" style="55" hidden="1" customWidth="1"/>
    <col min="754" max="754" width="10.42578125" style="55" customWidth="1"/>
    <col min="755" max="756" width="0" style="55" hidden="1" customWidth="1"/>
    <col min="757" max="757" width="9.7109375" style="55" customWidth="1"/>
    <col min="758" max="759" width="0" style="55" hidden="1" customWidth="1"/>
    <col min="760" max="760" width="10" style="55" customWidth="1"/>
    <col min="761" max="762" width="0" style="55" hidden="1" customWidth="1"/>
    <col min="763" max="763" width="12.7109375" style="55" customWidth="1"/>
    <col min="764" max="765" width="0" style="55" hidden="1" customWidth="1"/>
    <col min="766" max="766" width="12.5703125" style="55" customWidth="1"/>
    <col min="767" max="768" width="0" style="55" hidden="1" customWidth="1"/>
    <col min="769" max="769" width="10.42578125" style="55" customWidth="1"/>
    <col min="770" max="771" width="0" style="55" hidden="1" customWidth="1"/>
    <col min="772" max="772" width="9.5703125" style="55" customWidth="1"/>
    <col min="773" max="774" width="0" style="55" hidden="1" customWidth="1"/>
    <col min="775" max="775" width="10.28515625" style="55" customWidth="1"/>
    <col min="776" max="777" width="0" style="55" hidden="1" customWidth="1"/>
    <col min="778" max="778" width="11" style="55" customWidth="1"/>
    <col min="779" max="780" width="0" style="55" hidden="1" customWidth="1"/>
    <col min="781" max="781" width="12.28515625" style="55" customWidth="1"/>
    <col min="782" max="783" width="0" style="55" hidden="1" customWidth="1"/>
    <col min="784" max="784" width="11.85546875" style="55" customWidth="1"/>
    <col min="785" max="786" width="0" style="55" hidden="1" customWidth="1"/>
    <col min="787" max="787" width="11" style="55" customWidth="1"/>
    <col min="788" max="789" width="0" style="55" hidden="1" customWidth="1"/>
    <col min="790" max="790" width="12.140625" style="55" customWidth="1"/>
    <col min="791" max="792" width="0" style="55" hidden="1" customWidth="1"/>
    <col min="793" max="793" width="11.28515625" style="55" customWidth="1"/>
    <col min="794" max="795" width="0" style="55" hidden="1" customWidth="1"/>
    <col min="796" max="796" width="11.28515625" style="55" customWidth="1"/>
    <col min="797" max="798" width="0" style="55" hidden="1" customWidth="1"/>
    <col min="799" max="799" width="10.5703125" style="55" customWidth="1"/>
    <col min="800" max="800" width="0" style="55" hidden="1" customWidth="1"/>
    <col min="801" max="962" width="9.140625" style="55"/>
    <col min="963" max="963" width="10.85546875" style="55" customWidth="1"/>
    <col min="964" max="964" width="35.7109375" style="55" customWidth="1"/>
    <col min="965" max="966" width="0" style="55" hidden="1" customWidth="1"/>
    <col min="967" max="967" width="21.28515625" style="55" customWidth="1"/>
    <col min="968" max="968" width="13.42578125" style="55" customWidth="1"/>
    <col min="969" max="970" width="0" style="55" hidden="1" customWidth="1"/>
    <col min="971" max="971" width="10.42578125" style="55" customWidth="1"/>
    <col min="972" max="973" width="0" style="55" hidden="1" customWidth="1"/>
    <col min="974" max="974" width="12.42578125" style="55" customWidth="1"/>
    <col min="975" max="976" width="0" style="55" hidden="1" customWidth="1"/>
    <col min="977" max="977" width="10.42578125" style="55" customWidth="1"/>
    <col min="978" max="979" width="0" style="55" hidden="1" customWidth="1"/>
    <col min="980" max="980" width="11.140625" style="55" customWidth="1"/>
    <col min="981" max="982" width="0" style="55" hidden="1" customWidth="1"/>
    <col min="983" max="983" width="10.42578125" style="55" customWidth="1"/>
    <col min="984" max="985" width="0" style="55" hidden="1" customWidth="1"/>
    <col min="986" max="986" width="9.5703125" style="55" customWidth="1"/>
    <col min="987" max="988" width="0" style="55" hidden="1" customWidth="1"/>
    <col min="989" max="989" width="10.28515625" style="55" customWidth="1"/>
    <col min="990" max="991" width="0" style="55" hidden="1" customWidth="1"/>
    <col min="992" max="992" width="10.85546875" style="55" customWidth="1"/>
    <col min="993" max="994" width="0" style="55" hidden="1" customWidth="1"/>
    <col min="995" max="995" width="12.28515625" style="55" customWidth="1"/>
    <col min="996" max="997" width="0" style="55" hidden="1" customWidth="1"/>
    <col min="998" max="998" width="11.85546875" style="55" customWidth="1"/>
    <col min="999" max="1000" width="0" style="55" hidden="1" customWidth="1"/>
    <col min="1001" max="1001" width="10.5703125" style="55" customWidth="1"/>
    <col min="1002" max="1003" width="0" style="55" hidden="1" customWidth="1"/>
    <col min="1004" max="1004" width="10.140625" style="55" customWidth="1"/>
    <col min="1005" max="1006" width="0" style="55" hidden="1" customWidth="1"/>
    <col min="1007" max="1007" width="10.140625" style="55" customWidth="1"/>
    <col min="1008" max="1009" width="0" style="55" hidden="1" customWidth="1"/>
    <col min="1010" max="1010" width="10.42578125" style="55" customWidth="1"/>
    <col min="1011" max="1012" width="0" style="55" hidden="1" customWidth="1"/>
    <col min="1013" max="1013" width="9.7109375" style="55" customWidth="1"/>
    <col min="1014" max="1015" width="0" style="55" hidden="1" customWidth="1"/>
    <col min="1016" max="1016" width="10" style="55" customWidth="1"/>
    <col min="1017" max="1018" width="0" style="55" hidden="1" customWidth="1"/>
    <col min="1019" max="1019" width="12.7109375" style="55" customWidth="1"/>
    <col min="1020" max="1021" width="0" style="55" hidden="1" customWidth="1"/>
    <col min="1022" max="1022" width="12.5703125" style="55" customWidth="1"/>
    <col min="1023" max="1024" width="0" style="55" hidden="1" customWidth="1"/>
    <col min="1025" max="1025" width="10.42578125" style="55" customWidth="1"/>
    <col min="1026" max="1027" width="0" style="55" hidden="1" customWidth="1"/>
    <col min="1028" max="1028" width="9.5703125" style="55" customWidth="1"/>
    <col min="1029" max="1030" width="0" style="55" hidden="1" customWidth="1"/>
    <col min="1031" max="1031" width="10.28515625" style="55" customWidth="1"/>
    <col min="1032" max="1033" width="0" style="55" hidden="1" customWidth="1"/>
    <col min="1034" max="1034" width="11" style="55" customWidth="1"/>
    <col min="1035" max="1036" width="0" style="55" hidden="1" customWidth="1"/>
    <col min="1037" max="1037" width="12.28515625" style="55" customWidth="1"/>
    <col min="1038" max="1039" width="0" style="55" hidden="1" customWidth="1"/>
    <col min="1040" max="1040" width="11.85546875" style="55" customWidth="1"/>
    <col min="1041" max="1042" width="0" style="55" hidden="1" customWidth="1"/>
    <col min="1043" max="1043" width="11" style="55" customWidth="1"/>
    <col min="1044" max="1045" width="0" style="55" hidden="1" customWidth="1"/>
    <col min="1046" max="1046" width="12.140625" style="55" customWidth="1"/>
    <col min="1047" max="1048" width="0" style="55" hidden="1" customWidth="1"/>
    <col min="1049" max="1049" width="11.28515625" style="55" customWidth="1"/>
    <col min="1050" max="1051" width="0" style="55" hidden="1" customWidth="1"/>
    <col min="1052" max="1052" width="11.28515625" style="55" customWidth="1"/>
    <col min="1053" max="1054" width="0" style="55" hidden="1" customWidth="1"/>
    <col min="1055" max="1055" width="10.5703125" style="55" customWidth="1"/>
    <col min="1056" max="1056" width="0" style="55" hidden="1" customWidth="1"/>
    <col min="1057" max="1218" width="9.140625" style="55"/>
    <col min="1219" max="1219" width="10.85546875" style="55" customWidth="1"/>
    <col min="1220" max="1220" width="35.7109375" style="55" customWidth="1"/>
    <col min="1221" max="1222" width="0" style="55" hidden="1" customWidth="1"/>
    <col min="1223" max="1223" width="21.28515625" style="55" customWidth="1"/>
    <col min="1224" max="1224" width="13.42578125" style="55" customWidth="1"/>
    <col min="1225" max="1226" width="0" style="55" hidden="1" customWidth="1"/>
    <col min="1227" max="1227" width="10.42578125" style="55" customWidth="1"/>
    <col min="1228" max="1229" width="0" style="55" hidden="1" customWidth="1"/>
    <col min="1230" max="1230" width="12.42578125" style="55" customWidth="1"/>
    <col min="1231" max="1232" width="0" style="55" hidden="1" customWidth="1"/>
    <col min="1233" max="1233" width="10.42578125" style="55" customWidth="1"/>
    <col min="1234" max="1235" width="0" style="55" hidden="1" customWidth="1"/>
    <col min="1236" max="1236" width="11.140625" style="55" customWidth="1"/>
    <col min="1237" max="1238" width="0" style="55" hidden="1" customWidth="1"/>
    <col min="1239" max="1239" width="10.42578125" style="55" customWidth="1"/>
    <col min="1240" max="1241" width="0" style="55" hidden="1" customWidth="1"/>
    <col min="1242" max="1242" width="9.5703125" style="55" customWidth="1"/>
    <col min="1243" max="1244" width="0" style="55" hidden="1" customWidth="1"/>
    <col min="1245" max="1245" width="10.28515625" style="55" customWidth="1"/>
    <col min="1246" max="1247" width="0" style="55" hidden="1" customWidth="1"/>
    <col min="1248" max="1248" width="10.85546875" style="55" customWidth="1"/>
    <col min="1249" max="1250" width="0" style="55" hidden="1" customWidth="1"/>
    <col min="1251" max="1251" width="12.28515625" style="55" customWidth="1"/>
    <col min="1252" max="1253" width="0" style="55" hidden="1" customWidth="1"/>
    <col min="1254" max="1254" width="11.85546875" style="55" customWidth="1"/>
    <col min="1255" max="1256" width="0" style="55" hidden="1" customWidth="1"/>
    <col min="1257" max="1257" width="10.5703125" style="55" customWidth="1"/>
    <col min="1258" max="1259" width="0" style="55" hidden="1" customWidth="1"/>
    <col min="1260" max="1260" width="10.140625" style="55" customWidth="1"/>
    <col min="1261" max="1262" width="0" style="55" hidden="1" customWidth="1"/>
    <col min="1263" max="1263" width="10.140625" style="55" customWidth="1"/>
    <col min="1264" max="1265" width="0" style="55" hidden="1" customWidth="1"/>
    <col min="1266" max="1266" width="10.42578125" style="55" customWidth="1"/>
    <col min="1267" max="1268" width="0" style="55" hidden="1" customWidth="1"/>
    <col min="1269" max="1269" width="9.7109375" style="55" customWidth="1"/>
    <col min="1270" max="1271" width="0" style="55" hidden="1" customWidth="1"/>
    <col min="1272" max="1272" width="10" style="55" customWidth="1"/>
    <col min="1273" max="1274" width="0" style="55" hidden="1" customWidth="1"/>
    <col min="1275" max="1275" width="12.7109375" style="55" customWidth="1"/>
    <col min="1276" max="1277" width="0" style="55" hidden="1" customWidth="1"/>
    <col min="1278" max="1278" width="12.5703125" style="55" customWidth="1"/>
    <col min="1279" max="1280" width="0" style="55" hidden="1" customWidth="1"/>
    <col min="1281" max="1281" width="10.42578125" style="55" customWidth="1"/>
    <col min="1282" max="1283" width="0" style="55" hidden="1" customWidth="1"/>
    <col min="1284" max="1284" width="9.5703125" style="55" customWidth="1"/>
    <col min="1285" max="1286" width="0" style="55" hidden="1" customWidth="1"/>
    <col min="1287" max="1287" width="10.28515625" style="55" customWidth="1"/>
    <col min="1288" max="1289" width="0" style="55" hidden="1" customWidth="1"/>
    <col min="1290" max="1290" width="11" style="55" customWidth="1"/>
    <col min="1291" max="1292" width="0" style="55" hidden="1" customWidth="1"/>
    <col min="1293" max="1293" width="12.28515625" style="55" customWidth="1"/>
    <col min="1294" max="1295" width="0" style="55" hidden="1" customWidth="1"/>
    <col min="1296" max="1296" width="11.85546875" style="55" customWidth="1"/>
    <col min="1297" max="1298" width="0" style="55" hidden="1" customWidth="1"/>
    <col min="1299" max="1299" width="11" style="55" customWidth="1"/>
    <col min="1300" max="1301" width="0" style="55" hidden="1" customWidth="1"/>
    <col min="1302" max="1302" width="12.140625" style="55" customWidth="1"/>
    <col min="1303" max="1304" width="0" style="55" hidden="1" customWidth="1"/>
    <col min="1305" max="1305" width="11.28515625" style="55" customWidth="1"/>
    <col min="1306" max="1307" width="0" style="55" hidden="1" customWidth="1"/>
    <col min="1308" max="1308" width="11.28515625" style="55" customWidth="1"/>
    <col min="1309" max="1310" width="0" style="55" hidden="1" customWidth="1"/>
    <col min="1311" max="1311" width="10.5703125" style="55" customWidth="1"/>
    <col min="1312" max="1312" width="0" style="55" hidden="1" customWidth="1"/>
    <col min="1313" max="1474" width="9.140625" style="55"/>
    <col min="1475" max="1475" width="10.85546875" style="55" customWidth="1"/>
    <col min="1476" max="1476" width="35.7109375" style="55" customWidth="1"/>
    <col min="1477" max="1478" width="0" style="55" hidden="1" customWidth="1"/>
    <col min="1479" max="1479" width="21.28515625" style="55" customWidth="1"/>
    <col min="1480" max="1480" width="13.42578125" style="55" customWidth="1"/>
    <col min="1481" max="1482" width="0" style="55" hidden="1" customWidth="1"/>
    <col min="1483" max="1483" width="10.42578125" style="55" customWidth="1"/>
    <col min="1484" max="1485" width="0" style="55" hidden="1" customWidth="1"/>
    <col min="1486" max="1486" width="12.42578125" style="55" customWidth="1"/>
    <col min="1487" max="1488" width="0" style="55" hidden="1" customWidth="1"/>
    <col min="1489" max="1489" width="10.42578125" style="55" customWidth="1"/>
    <col min="1490" max="1491" width="0" style="55" hidden="1" customWidth="1"/>
    <col min="1492" max="1492" width="11.140625" style="55" customWidth="1"/>
    <col min="1493" max="1494" width="0" style="55" hidden="1" customWidth="1"/>
    <col min="1495" max="1495" width="10.42578125" style="55" customWidth="1"/>
    <col min="1496" max="1497" width="0" style="55" hidden="1" customWidth="1"/>
    <col min="1498" max="1498" width="9.5703125" style="55" customWidth="1"/>
    <col min="1499" max="1500" width="0" style="55" hidden="1" customWidth="1"/>
    <col min="1501" max="1501" width="10.28515625" style="55" customWidth="1"/>
    <col min="1502" max="1503" width="0" style="55" hidden="1" customWidth="1"/>
    <col min="1504" max="1504" width="10.85546875" style="55" customWidth="1"/>
    <col min="1505" max="1506" width="0" style="55" hidden="1" customWidth="1"/>
    <col min="1507" max="1507" width="12.28515625" style="55" customWidth="1"/>
    <col min="1508" max="1509" width="0" style="55" hidden="1" customWidth="1"/>
    <col min="1510" max="1510" width="11.85546875" style="55" customWidth="1"/>
    <col min="1511" max="1512" width="0" style="55" hidden="1" customWidth="1"/>
    <col min="1513" max="1513" width="10.5703125" style="55" customWidth="1"/>
    <col min="1514" max="1515" width="0" style="55" hidden="1" customWidth="1"/>
    <col min="1516" max="1516" width="10.140625" style="55" customWidth="1"/>
    <col min="1517" max="1518" width="0" style="55" hidden="1" customWidth="1"/>
    <col min="1519" max="1519" width="10.140625" style="55" customWidth="1"/>
    <col min="1520" max="1521" width="0" style="55" hidden="1" customWidth="1"/>
    <col min="1522" max="1522" width="10.42578125" style="55" customWidth="1"/>
    <col min="1523" max="1524" width="0" style="55" hidden="1" customWidth="1"/>
    <col min="1525" max="1525" width="9.7109375" style="55" customWidth="1"/>
    <col min="1526" max="1527" width="0" style="55" hidden="1" customWidth="1"/>
    <col min="1528" max="1528" width="10" style="55" customWidth="1"/>
    <col min="1529" max="1530" width="0" style="55" hidden="1" customWidth="1"/>
    <col min="1531" max="1531" width="12.7109375" style="55" customWidth="1"/>
    <col min="1532" max="1533" width="0" style="55" hidden="1" customWidth="1"/>
    <col min="1534" max="1534" width="12.5703125" style="55" customWidth="1"/>
    <col min="1535" max="1536" width="0" style="55" hidden="1" customWidth="1"/>
    <col min="1537" max="1537" width="10.42578125" style="55" customWidth="1"/>
    <col min="1538" max="1539" width="0" style="55" hidden="1" customWidth="1"/>
    <col min="1540" max="1540" width="9.5703125" style="55" customWidth="1"/>
    <col min="1541" max="1542" width="0" style="55" hidden="1" customWidth="1"/>
    <col min="1543" max="1543" width="10.28515625" style="55" customWidth="1"/>
    <col min="1544" max="1545" width="0" style="55" hidden="1" customWidth="1"/>
    <col min="1546" max="1546" width="11" style="55" customWidth="1"/>
    <col min="1547" max="1548" width="0" style="55" hidden="1" customWidth="1"/>
    <col min="1549" max="1549" width="12.28515625" style="55" customWidth="1"/>
    <col min="1550" max="1551" width="0" style="55" hidden="1" customWidth="1"/>
    <col min="1552" max="1552" width="11.85546875" style="55" customWidth="1"/>
    <col min="1553" max="1554" width="0" style="55" hidden="1" customWidth="1"/>
    <col min="1555" max="1555" width="11" style="55" customWidth="1"/>
    <col min="1556" max="1557" width="0" style="55" hidden="1" customWidth="1"/>
    <col min="1558" max="1558" width="12.140625" style="55" customWidth="1"/>
    <col min="1559" max="1560" width="0" style="55" hidden="1" customWidth="1"/>
    <col min="1561" max="1561" width="11.28515625" style="55" customWidth="1"/>
    <col min="1562" max="1563" width="0" style="55" hidden="1" customWidth="1"/>
    <col min="1564" max="1564" width="11.28515625" style="55" customWidth="1"/>
    <col min="1565" max="1566" width="0" style="55" hidden="1" customWidth="1"/>
    <col min="1567" max="1567" width="10.5703125" style="55" customWidth="1"/>
    <col min="1568" max="1568" width="0" style="55" hidden="1" customWidth="1"/>
    <col min="1569" max="1730" width="9.140625" style="55"/>
    <col min="1731" max="1731" width="10.85546875" style="55" customWidth="1"/>
    <col min="1732" max="1732" width="35.7109375" style="55" customWidth="1"/>
    <col min="1733" max="1734" width="0" style="55" hidden="1" customWidth="1"/>
    <col min="1735" max="1735" width="21.28515625" style="55" customWidth="1"/>
    <col min="1736" max="1736" width="13.42578125" style="55" customWidth="1"/>
    <col min="1737" max="1738" width="0" style="55" hidden="1" customWidth="1"/>
    <col min="1739" max="1739" width="10.42578125" style="55" customWidth="1"/>
    <col min="1740" max="1741" width="0" style="55" hidden="1" customWidth="1"/>
    <col min="1742" max="1742" width="12.42578125" style="55" customWidth="1"/>
    <col min="1743" max="1744" width="0" style="55" hidden="1" customWidth="1"/>
    <col min="1745" max="1745" width="10.42578125" style="55" customWidth="1"/>
    <col min="1746" max="1747" width="0" style="55" hidden="1" customWidth="1"/>
    <col min="1748" max="1748" width="11.140625" style="55" customWidth="1"/>
    <col min="1749" max="1750" width="0" style="55" hidden="1" customWidth="1"/>
    <col min="1751" max="1751" width="10.42578125" style="55" customWidth="1"/>
    <col min="1752" max="1753" width="0" style="55" hidden="1" customWidth="1"/>
    <col min="1754" max="1754" width="9.5703125" style="55" customWidth="1"/>
    <col min="1755" max="1756" width="0" style="55" hidden="1" customWidth="1"/>
    <col min="1757" max="1757" width="10.28515625" style="55" customWidth="1"/>
    <col min="1758" max="1759" width="0" style="55" hidden="1" customWidth="1"/>
    <col min="1760" max="1760" width="10.85546875" style="55" customWidth="1"/>
    <col min="1761" max="1762" width="0" style="55" hidden="1" customWidth="1"/>
    <col min="1763" max="1763" width="12.28515625" style="55" customWidth="1"/>
    <col min="1764" max="1765" width="0" style="55" hidden="1" customWidth="1"/>
    <col min="1766" max="1766" width="11.85546875" style="55" customWidth="1"/>
    <col min="1767" max="1768" width="0" style="55" hidden="1" customWidth="1"/>
    <col min="1769" max="1769" width="10.5703125" style="55" customWidth="1"/>
    <col min="1770" max="1771" width="0" style="55" hidden="1" customWidth="1"/>
    <col min="1772" max="1772" width="10.140625" style="55" customWidth="1"/>
    <col min="1773" max="1774" width="0" style="55" hidden="1" customWidth="1"/>
    <col min="1775" max="1775" width="10.140625" style="55" customWidth="1"/>
    <col min="1776" max="1777" width="0" style="55" hidden="1" customWidth="1"/>
    <col min="1778" max="1778" width="10.42578125" style="55" customWidth="1"/>
    <col min="1779" max="1780" width="0" style="55" hidden="1" customWidth="1"/>
    <col min="1781" max="1781" width="9.7109375" style="55" customWidth="1"/>
    <col min="1782" max="1783" width="0" style="55" hidden="1" customWidth="1"/>
    <col min="1784" max="1784" width="10" style="55" customWidth="1"/>
    <col min="1785" max="1786" width="0" style="55" hidden="1" customWidth="1"/>
    <col min="1787" max="1787" width="12.7109375" style="55" customWidth="1"/>
    <col min="1788" max="1789" width="0" style="55" hidden="1" customWidth="1"/>
    <col min="1790" max="1790" width="12.5703125" style="55" customWidth="1"/>
    <col min="1791" max="1792" width="0" style="55" hidden="1" customWidth="1"/>
    <col min="1793" max="1793" width="10.42578125" style="55" customWidth="1"/>
    <col min="1794" max="1795" width="0" style="55" hidden="1" customWidth="1"/>
    <col min="1796" max="1796" width="9.5703125" style="55" customWidth="1"/>
    <col min="1797" max="1798" width="0" style="55" hidden="1" customWidth="1"/>
    <col min="1799" max="1799" width="10.28515625" style="55" customWidth="1"/>
    <col min="1800" max="1801" width="0" style="55" hidden="1" customWidth="1"/>
    <col min="1802" max="1802" width="11" style="55" customWidth="1"/>
    <col min="1803" max="1804" width="0" style="55" hidden="1" customWidth="1"/>
    <col min="1805" max="1805" width="12.28515625" style="55" customWidth="1"/>
    <col min="1806" max="1807" width="0" style="55" hidden="1" customWidth="1"/>
    <col min="1808" max="1808" width="11.85546875" style="55" customWidth="1"/>
    <col min="1809" max="1810" width="0" style="55" hidden="1" customWidth="1"/>
    <col min="1811" max="1811" width="11" style="55" customWidth="1"/>
    <col min="1812" max="1813" width="0" style="55" hidden="1" customWidth="1"/>
    <col min="1814" max="1814" width="12.140625" style="55" customWidth="1"/>
    <col min="1815" max="1816" width="0" style="55" hidden="1" customWidth="1"/>
    <col min="1817" max="1817" width="11.28515625" style="55" customWidth="1"/>
    <col min="1818" max="1819" width="0" style="55" hidden="1" customWidth="1"/>
    <col min="1820" max="1820" width="11.28515625" style="55" customWidth="1"/>
    <col min="1821" max="1822" width="0" style="55" hidden="1" customWidth="1"/>
    <col min="1823" max="1823" width="10.5703125" style="55" customWidth="1"/>
    <col min="1824" max="1824" width="0" style="55" hidden="1" customWidth="1"/>
    <col min="1825" max="1986" width="9.140625" style="55"/>
    <col min="1987" max="1987" width="10.85546875" style="55" customWidth="1"/>
    <col min="1988" max="1988" width="35.7109375" style="55" customWidth="1"/>
    <col min="1989" max="1990" width="0" style="55" hidden="1" customWidth="1"/>
    <col min="1991" max="1991" width="21.28515625" style="55" customWidth="1"/>
    <col min="1992" max="1992" width="13.42578125" style="55" customWidth="1"/>
    <col min="1993" max="1994" width="0" style="55" hidden="1" customWidth="1"/>
    <col min="1995" max="1995" width="10.42578125" style="55" customWidth="1"/>
    <col min="1996" max="1997" width="0" style="55" hidden="1" customWidth="1"/>
    <col min="1998" max="1998" width="12.42578125" style="55" customWidth="1"/>
    <col min="1999" max="2000" width="0" style="55" hidden="1" customWidth="1"/>
    <col min="2001" max="2001" width="10.42578125" style="55" customWidth="1"/>
    <col min="2002" max="2003" width="0" style="55" hidden="1" customWidth="1"/>
    <col min="2004" max="2004" width="11.140625" style="55" customWidth="1"/>
    <col min="2005" max="2006" width="0" style="55" hidden="1" customWidth="1"/>
    <col min="2007" max="2007" width="10.42578125" style="55" customWidth="1"/>
    <col min="2008" max="2009" width="0" style="55" hidden="1" customWidth="1"/>
    <col min="2010" max="2010" width="9.5703125" style="55" customWidth="1"/>
    <col min="2011" max="2012" width="0" style="55" hidden="1" customWidth="1"/>
    <col min="2013" max="2013" width="10.28515625" style="55" customWidth="1"/>
    <col min="2014" max="2015" width="0" style="55" hidden="1" customWidth="1"/>
    <col min="2016" max="2016" width="10.85546875" style="55" customWidth="1"/>
    <col min="2017" max="2018" width="0" style="55" hidden="1" customWidth="1"/>
    <col min="2019" max="2019" width="12.28515625" style="55" customWidth="1"/>
    <col min="2020" max="2021" width="0" style="55" hidden="1" customWidth="1"/>
    <col min="2022" max="2022" width="11.85546875" style="55" customWidth="1"/>
    <col min="2023" max="2024" width="0" style="55" hidden="1" customWidth="1"/>
    <col min="2025" max="2025" width="10.5703125" style="55" customWidth="1"/>
    <col min="2026" max="2027" width="0" style="55" hidden="1" customWidth="1"/>
    <col min="2028" max="2028" width="10.140625" style="55" customWidth="1"/>
    <col min="2029" max="2030" width="0" style="55" hidden="1" customWidth="1"/>
    <col min="2031" max="2031" width="10.140625" style="55" customWidth="1"/>
    <col min="2032" max="2033" width="0" style="55" hidden="1" customWidth="1"/>
    <col min="2034" max="2034" width="10.42578125" style="55" customWidth="1"/>
    <col min="2035" max="2036" width="0" style="55" hidden="1" customWidth="1"/>
    <col min="2037" max="2037" width="9.7109375" style="55" customWidth="1"/>
    <col min="2038" max="2039" width="0" style="55" hidden="1" customWidth="1"/>
    <col min="2040" max="2040" width="10" style="55" customWidth="1"/>
    <col min="2041" max="2042" width="0" style="55" hidden="1" customWidth="1"/>
    <col min="2043" max="2043" width="12.7109375" style="55" customWidth="1"/>
    <col min="2044" max="2045" width="0" style="55" hidden="1" customWidth="1"/>
    <col min="2046" max="2046" width="12.5703125" style="55" customWidth="1"/>
    <col min="2047" max="2048" width="0" style="55" hidden="1" customWidth="1"/>
    <col min="2049" max="2049" width="10.42578125" style="55" customWidth="1"/>
    <col min="2050" max="2051" width="0" style="55" hidden="1" customWidth="1"/>
    <col min="2052" max="2052" width="9.5703125" style="55" customWidth="1"/>
    <col min="2053" max="2054" width="0" style="55" hidden="1" customWidth="1"/>
    <col min="2055" max="2055" width="10.28515625" style="55" customWidth="1"/>
    <col min="2056" max="2057" width="0" style="55" hidden="1" customWidth="1"/>
    <col min="2058" max="2058" width="11" style="55" customWidth="1"/>
    <col min="2059" max="2060" width="0" style="55" hidden="1" customWidth="1"/>
    <col min="2061" max="2061" width="12.28515625" style="55" customWidth="1"/>
    <col min="2062" max="2063" width="0" style="55" hidden="1" customWidth="1"/>
    <col min="2064" max="2064" width="11.85546875" style="55" customWidth="1"/>
    <col min="2065" max="2066" width="0" style="55" hidden="1" customWidth="1"/>
    <col min="2067" max="2067" width="11" style="55" customWidth="1"/>
    <col min="2068" max="2069" width="0" style="55" hidden="1" customWidth="1"/>
    <col min="2070" max="2070" width="12.140625" style="55" customWidth="1"/>
    <col min="2071" max="2072" width="0" style="55" hidden="1" customWidth="1"/>
    <col min="2073" max="2073" width="11.28515625" style="55" customWidth="1"/>
    <col min="2074" max="2075" width="0" style="55" hidden="1" customWidth="1"/>
    <col min="2076" max="2076" width="11.28515625" style="55" customWidth="1"/>
    <col min="2077" max="2078" width="0" style="55" hidden="1" customWidth="1"/>
    <col min="2079" max="2079" width="10.5703125" style="55" customWidth="1"/>
    <col min="2080" max="2080" width="0" style="55" hidden="1" customWidth="1"/>
    <col min="2081" max="2242" width="9.140625" style="55"/>
    <col min="2243" max="2243" width="10.85546875" style="55" customWidth="1"/>
    <col min="2244" max="2244" width="35.7109375" style="55" customWidth="1"/>
    <col min="2245" max="2246" width="0" style="55" hidden="1" customWidth="1"/>
    <col min="2247" max="2247" width="21.28515625" style="55" customWidth="1"/>
    <col min="2248" max="2248" width="13.42578125" style="55" customWidth="1"/>
    <col min="2249" max="2250" width="0" style="55" hidden="1" customWidth="1"/>
    <col min="2251" max="2251" width="10.42578125" style="55" customWidth="1"/>
    <col min="2252" max="2253" width="0" style="55" hidden="1" customWidth="1"/>
    <col min="2254" max="2254" width="12.42578125" style="55" customWidth="1"/>
    <col min="2255" max="2256" width="0" style="55" hidden="1" customWidth="1"/>
    <col min="2257" max="2257" width="10.42578125" style="55" customWidth="1"/>
    <col min="2258" max="2259" width="0" style="55" hidden="1" customWidth="1"/>
    <col min="2260" max="2260" width="11.140625" style="55" customWidth="1"/>
    <col min="2261" max="2262" width="0" style="55" hidden="1" customWidth="1"/>
    <col min="2263" max="2263" width="10.42578125" style="55" customWidth="1"/>
    <col min="2264" max="2265" width="0" style="55" hidden="1" customWidth="1"/>
    <col min="2266" max="2266" width="9.5703125" style="55" customWidth="1"/>
    <col min="2267" max="2268" width="0" style="55" hidden="1" customWidth="1"/>
    <col min="2269" max="2269" width="10.28515625" style="55" customWidth="1"/>
    <col min="2270" max="2271" width="0" style="55" hidden="1" customWidth="1"/>
    <col min="2272" max="2272" width="10.85546875" style="55" customWidth="1"/>
    <col min="2273" max="2274" width="0" style="55" hidden="1" customWidth="1"/>
    <col min="2275" max="2275" width="12.28515625" style="55" customWidth="1"/>
    <col min="2276" max="2277" width="0" style="55" hidden="1" customWidth="1"/>
    <col min="2278" max="2278" width="11.85546875" style="55" customWidth="1"/>
    <col min="2279" max="2280" width="0" style="55" hidden="1" customWidth="1"/>
    <col min="2281" max="2281" width="10.5703125" style="55" customWidth="1"/>
    <col min="2282" max="2283" width="0" style="55" hidden="1" customWidth="1"/>
    <col min="2284" max="2284" width="10.140625" style="55" customWidth="1"/>
    <col min="2285" max="2286" width="0" style="55" hidden="1" customWidth="1"/>
    <col min="2287" max="2287" width="10.140625" style="55" customWidth="1"/>
    <col min="2288" max="2289" width="0" style="55" hidden="1" customWidth="1"/>
    <col min="2290" max="2290" width="10.42578125" style="55" customWidth="1"/>
    <col min="2291" max="2292" width="0" style="55" hidden="1" customWidth="1"/>
    <col min="2293" max="2293" width="9.7109375" style="55" customWidth="1"/>
    <col min="2294" max="2295" width="0" style="55" hidden="1" customWidth="1"/>
    <col min="2296" max="2296" width="10" style="55" customWidth="1"/>
    <col min="2297" max="2298" width="0" style="55" hidden="1" customWidth="1"/>
    <col min="2299" max="2299" width="12.7109375" style="55" customWidth="1"/>
    <col min="2300" max="2301" width="0" style="55" hidden="1" customWidth="1"/>
    <col min="2302" max="2302" width="12.5703125" style="55" customWidth="1"/>
    <col min="2303" max="2304" width="0" style="55" hidden="1" customWidth="1"/>
    <col min="2305" max="2305" width="10.42578125" style="55" customWidth="1"/>
    <col min="2306" max="2307" width="0" style="55" hidden="1" customWidth="1"/>
    <col min="2308" max="2308" width="9.5703125" style="55" customWidth="1"/>
    <col min="2309" max="2310" width="0" style="55" hidden="1" customWidth="1"/>
    <col min="2311" max="2311" width="10.28515625" style="55" customWidth="1"/>
    <col min="2312" max="2313" width="0" style="55" hidden="1" customWidth="1"/>
    <col min="2314" max="2314" width="11" style="55" customWidth="1"/>
    <col min="2315" max="2316" width="0" style="55" hidden="1" customWidth="1"/>
    <col min="2317" max="2317" width="12.28515625" style="55" customWidth="1"/>
    <col min="2318" max="2319" width="0" style="55" hidden="1" customWidth="1"/>
    <col min="2320" max="2320" width="11.85546875" style="55" customWidth="1"/>
    <col min="2321" max="2322" width="0" style="55" hidden="1" customWidth="1"/>
    <col min="2323" max="2323" width="11" style="55" customWidth="1"/>
    <col min="2324" max="2325" width="0" style="55" hidden="1" customWidth="1"/>
    <col min="2326" max="2326" width="12.140625" style="55" customWidth="1"/>
    <col min="2327" max="2328" width="0" style="55" hidden="1" customWidth="1"/>
    <col min="2329" max="2329" width="11.28515625" style="55" customWidth="1"/>
    <col min="2330" max="2331" width="0" style="55" hidden="1" customWidth="1"/>
    <col min="2332" max="2332" width="11.28515625" style="55" customWidth="1"/>
    <col min="2333" max="2334" width="0" style="55" hidden="1" customWidth="1"/>
    <col min="2335" max="2335" width="10.5703125" style="55" customWidth="1"/>
    <col min="2336" max="2336" width="0" style="55" hidden="1" customWidth="1"/>
    <col min="2337" max="2498" width="9.140625" style="55"/>
    <col min="2499" max="2499" width="10.85546875" style="55" customWidth="1"/>
    <col min="2500" max="2500" width="35.7109375" style="55" customWidth="1"/>
    <col min="2501" max="2502" width="0" style="55" hidden="1" customWidth="1"/>
    <col min="2503" max="2503" width="21.28515625" style="55" customWidth="1"/>
    <col min="2504" max="2504" width="13.42578125" style="55" customWidth="1"/>
    <col min="2505" max="2506" width="0" style="55" hidden="1" customWidth="1"/>
    <col min="2507" max="2507" width="10.42578125" style="55" customWidth="1"/>
    <col min="2508" max="2509" width="0" style="55" hidden="1" customWidth="1"/>
    <col min="2510" max="2510" width="12.42578125" style="55" customWidth="1"/>
    <col min="2511" max="2512" width="0" style="55" hidden="1" customWidth="1"/>
    <col min="2513" max="2513" width="10.42578125" style="55" customWidth="1"/>
    <col min="2514" max="2515" width="0" style="55" hidden="1" customWidth="1"/>
    <col min="2516" max="2516" width="11.140625" style="55" customWidth="1"/>
    <col min="2517" max="2518" width="0" style="55" hidden="1" customWidth="1"/>
    <col min="2519" max="2519" width="10.42578125" style="55" customWidth="1"/>
    <col min="2520" max="2521" width="0" style="55" hidden="1" customWidth="1"/>
    <col min="2522" max="2522" width="9.5703125" style="55" customWidth="1"/>
    <col min="2523" max="2524" width="0" style="55" hidden="1" customWidth="1"/>
    <col min="2525" max="2525" width="10.28515625" style="55" customWidth="1"/>
    <col min="2526" max="2527" width="0" style="55" hidden="1" customWidth="1"/>
    <col min="2528" max="2528" width="10.85546875" style="55" customWidth="1"/>
    <col min="2529" max="2530" width="0" style="55" hidden="1" customWidth="1"/>
    <col min="2531" max="2531" width="12.28515625" style="55" customWidth="1"/>
    <col min="2532" max="2533" width="0" style="55" hidden="1" customWidth="1"/>
    <col min="2534" max="2534" width="11.85546875" style="55" customWidth="1"/>
    <col min="2535" max="2536" width="0" style="55" hidden="1" customWidth="1"/>
    <col min="2537" max="2537" width="10.5703125" style="55" customWidth="1"/>
    <col min="2538" max="2539" width="0" style="55" hidden="1" customWidth="1"/>
    <col min="2540" max="2540" width="10.140625" style="55" customWidth="1"/>
    <col min="2541" max="2542" width="0" style="55" hidden="1" customWidth="1"/>
    <col min="2543" max="2543" width="10.140625" style="55" customWidth="1"/>
    <col min="2544" max="2545" width="0" style="55" hidden="1" customWidth="1"/>
    <col min="2546" max="2546" width="10.42578125" style="55" customWidth="1"/>
    <col min="2547" max="2548" width="0" style="55" hidden="1" customWidth="1"/>
    <col min="2549" max="2549" width="9.7109375" style="55" customWidth="1"/>
    <col min="2550" max="2551" width="0" style="55" hidden="1" customWidth="1"/>
    <col min="2552" max="2552" width="10" style="55" customWidth="1"/>
    <col min="2553" max="2554" width="0" style="55" hidden="1" customWidth="1"/>
    <col min="2555" max="2555" width="12.7109375" style="55" customWidth="1"/>
    <col min="2556" max="2557" width="0" style="55" hidden="1" customWidth="1"/>
    <col min="2558" max="2558" width="12.5703125" style="55" customWidth="1"/>
    <col min="2559" max="2560" width="0" style="55" hidden="1" customWidth="1"/>
    <col min="2561" max="2561" width="10.42578125" style="55" customWidth="1"/>
    <col min="2562" max="2563" width="0" style="55" hidden="1" customWidth="1"/>
    <col min="2564" max="2564" width="9.5703125" style="55" customWidth="1"/>
    <col min="2565" max="2566" width="0" style="55" hidden="1" customWidth="1"/>
    <col min="2567" max="2567" width="10.28515625" style="55" customWidth="1"/>
    <col min="2568" max="2569" width="0" style="55" hidden="1" customWidth="1"/>
    <col min="2570" max="2570" width="11" style="55" customWidth="1"/>
    <col min="2571" max="2572" width="0" style="55" hidden="1" customWidth="1"/>
    <col min="2573" max="2573" width="12.28515625" style="55" customWidth="1"/>
    <col min="2574" max="2575" width="0" style="55" hidden="1" customWidth="1"/>
    <col min="2576" max="2576" width="11.85546875" style="55" customWidth="1"/>
    <col min="2577" max="2578" width="0" style="55" hidden="1" customWidth="1"/>
    <col min="2579" max="2579" width="11" style="55" customWidth="1"/>
    <col min="2580" max="2581" width="0" style="55" hidden="1" customWidth="1"/>
    <col min="2582" max="2582" width="12.140625" style="55" customWidth="1"/>
    <col min="2583" max="2584" width="0" style="55" hidden="1" customWidth="1"/>
    <col min="2585" max="2585" width="11.28515625" style="55" customWidth="1"/>
    <col min="2586" max="2587" width="0" style="55" hidden="1" customWidth="1"/>
    <col min="2588" max="2588" width="11.28515625" style="55" customWidth="1"/>
    <col min="2589" max="2590" width="0" style="55" hidden="1" customWidth="1"/>
    <col min="2591" max="2591" width="10.5703125" style="55" customWidth="1"/>
    <col min="2592" max="2592" width="0" style="55" hidden="1" customWidth="1"/>
    <col min="2593" max="2754" width="9.140625" style="55"/>
    <col min="2755" max="2755" width="10.85546875" style="55" customWidth="1"/>
    <col min="2756" max="2756" width="35.7109375" style="55" customWidth="1"/>
    <col min="2757" max="2758" width="0" style="55" hidden="1" customWidth="1"/>
    <col min="2759" max="2759" width="21.28515625" style="55" customWidth="1"/>
    <col min="2760" max="2760" width="13.42578125" style="55" customWidth="1"/>
    <col min="2761" max="2762" width="0" style="55" hidden="1" customWidth="1"/>
    <col min="2763" max="2763" width="10.42578125" style="55" customWidth="1"/>
    <col min="2764" max="2765" width="0" style="55" hidden="1" customWidth="1"/>
    <col min="2766" max="2766" width="12.42578125" style="55" customWidth="1"/>
    <col min="2767" max="2768" width="0" style="55" hidden="1" customWidth="1"/>
    <col min="2769" max="2769" width="10.42578125" style="55" customWidth="1"/>
    <col min="2770" max="2771" width="0" style="55" hidden="1" customWidth="1"/>
    <col min="2772" max="2772" width="11.140625" style="55" customWidth="1"/>
    <col min="2773" max="2774" width="0" style="55" hidden="1" customWidth="1"/>
    <col min="2775" max="2775" width="10.42578125" style="55" customWidth="1"/>
    <col min="2776" max="2777" width="0" style="55" hidden="1" customWidth="1"/>
    <col min="2778" max="2778" width="9.5703125" style="55" customWidth="1"/>
    <col min="2779" max="2780" width="0" style="55" hidden="1" customWidth="1"/>
    <col min="2781" max="2781" width="10.28515625" style="55" customWidth="1"/>
    <col min="2782" max="2783" width="0" style="55" hidden="1" customWidth="1"/>
    <col min="2784" max="2784" width="10.85546875" style="55" customWidth="1"/>
    <col min="2785" max="2786" width="0" style="55" hidden="1" customWidth="1"/>
    <col min="2787" max="2787" width="12.28515625" style="55" customWidth="1"/>
    <col min="2788" max="2789" width="0" style="55" hidden="1" customWidth="1"/>
    <col min="2790" max="2790" width="11.85546875" style="55" customWidth="1"/>
    <col min="2791" max="2792" width="0" style="55" hidden="1" customWidth="1"/>
    <col min="2793" max="2793" width="10.5703125" style="55" customWidth="1"/>
    <col min="2794" max="2795" width="0" style="55" hidden="1" customWidth="1"/>
    <col min="2796" max="2796" width="10.140625" style="55" customWidth="1"/>
    <col min="2797" max="2798" width="0" style="55" hidden="1" customWidth="1"/>
    <col min="2799" max="2799" width="10.140625" style="55" customWidth="1"/>
    <col min="2800" max="2801" width="0" style="55" hidden="1" customWidth="1"/>
    <col min="2802" max="2802" width="10.42578125" style="55" customWidth="1"/>
    <col min="2803" max="2804" width="0" style="55" hidden="1" customWidth="1"/>
    <col min="2805" max="2805" width="9.7109375" style="55" customWidth="1"/>
    <col min="2806" max="2807" width="0" style="55" hidden="1" customWidth="1"/>
    <col min="2808" max="2808" width="10" style="55" customWidth="1"/>
    <col min="2809" max="2810" width="0" style="55" hidden="1" customWidth="1"/>
    <col min="2811" max="2811" width="12.7109375" style="55" customWidth="1"/>
    <col min="2812" max="2813" width="0" style="55" hidden="1" customWidth="1"/>
    <col min="2814" max="2814" width="12.5703125" style="55" customWidth="1"/>
    <col min="2815" max="2816" width="0" style="55" hidden="1" customWidth="1"/>
    <col min="2817" max="2817" width="10.42578125" style="55" customWidth="1"/>
    <col min="2818" max="2819" width="0" style="55" hidden="1" customWidth="1"/>
    <col min="2820" max="2820" width="9.5703125" style="55" customWidth="1"/>
    <col min="2821" max="2822" width="0" style="55" hidden="1" customWidth="1"/>
    <col min="2823" max="2823" width="10.28515625" style="55" customWidth="1"/>
    <col min="2824" max="2825" width="0" style="55" hidden="1" customWidth="1"/>
    <col min="2826" max="2826" width="11" style="55" customWidth="1"/>
    <col min="2827" max="2828" width="0" style="55" hidden="1" customWidth="1"/>
    <col min="2829" max="2829" width="12.28515625" style="55" customWidth="1"/>
    <col min="2830" max="2831" width="0" style="55" hidden="1" customWidth="1"/>
    <col min="2832" max="2832" width="11.85546875" style="55" customWidth="1"/>
    <col min="2833" max="2834" width="0" style="55" hidden="1" customWidth="1"/>
    <col min="2835" max="2835" width="11" style="55" customWidth="1"/>
    <col min="2836" max="2837" width="0" style="55" hidden="1" customWidth="1"/>
    <col min="2838" max="2838" width="12.140625" style="55" customWidth="1"/>
    <col min="2839" max="2840" width="0" style="55" hidden="1" customWidth="1"/>
    <col min="2841" max="2841" width="11.28515625" style="55" customWidth="1"/>
    <col min="2842" max="2843" width="0" style="55" hidden="1" customWidth="1"/>
    <col min="2844" max="2844" width="11.28515625" style="55" customWidth="1"/>
    <col min="2845" max="2846" width="0" style="55" hidden="1" customWidth="1"/>
    <col min="2847" max="2847" width="10.5703125" style="55" customWidth="1"/>
    <col min="2848" max="2848" width="0" style="55" hidden="1" customWidth="1"/>
    <col min="2849" max="3010" width="9.140625" style="55"/>
    <col min="3011" max="3011" width="10.85546875" style="55" customWidth="1"/>
    <col min="3012" max="3012" width="35.7109375" style="55" customWidth="1"/>
    <col min="3013" max="3014" width="0" style="55" hidden="1" customWidth="1"/>
    <col min="3015" max="3015" width="21.28515625" style="55" customWidth="1"/>
    <col min="3016" max="3016" width="13.42578125" style="55" customWidth="1"/>
    <col min="3017" max="3018" width="0" style="55" hidden="1" customWidth="1"/>
    <col min="3019" max="3019" width="10.42578125" style="55" customWidth="1"/>
    <col min="3020" max="3021" width="0" style="55" hidden="1" customWidth="1"/>
    <col min="3022" max="3022" width="12.42578125" style="55" customWidth="1"/>
    <col min="3023" max="3024" width="0" style="55" hidden="1" customWidth="1"/>
    <col min="3025" max="3025" width="10.42578125" style="55" customWidth="1"/>
    <col min="3026" max="3027" width="0" style="55" hidden="1" customWidth="1"/>
    <col min="3028" max="3028" width="11.140625" style="55" customWidth="1"/>
    <col min="3029" max="3030" width="0" style="55" hidden="1" customWidth="1"/>
    <col min="3031" max="3031" width="10.42578125" style="55" customWidth="1"/>
    <col min="3032" max="3033" width="0" style="55" hidden="1" customWidth="1"/>
    <col min="3034" max="3034" width="9.5703125" style="55" customWidth="1"/>
    <col min="3035" max="3036" width="0" style="55" hidden="1" customWidth="1"/>
    <col min="3037" max="3037" width="10.28515625" style="55" customWidth="1"/>
    <col min="3038" max="3039" width="0" style="55" hidden="1" customWidth="1"/>
    <col min="3040" max="3040" width="10.85546875" style="55" customWidth="1"/>
    <col min="3041" max="3042" width="0" style="55" hidden="1" customWidth="1"/>
    <col min="3043" max="3043" width="12.28515625" style="55" customWidth="1"/>
    <col min="3044" max="3045" width="0" style="55" hidden="1" customWidth="1"/>
    <col min="3046" max="3046" width="11.85546875" style="55" customWidth="1"/>
    <col min="3047" max="3048" width="0" style="55" hidden="1" customWidth="1"/>
    <col min="3049" max="3049" width="10.5703125" style="55" customWidth="1"/>
    <col min="3050" max="3051" width="0" style="55" hidden="1" customWidth="1"/>
    <col min="3052" max="3052" width="10.140625" style="55" customWidth="1"/>
    <col min="3053" max="3054" width="0" style="55" hidden="1" customWidth="1"/>
    <col min="3055" max="3055" width="10.140625" style="55" customWidth="1"/>
    <col min="3056" max="3057" width="0" style="55" hidden="1" customWidth="1"/>
    <col min="3058" max="3058" width="10.42578125" style="55" customWidth="1"/>
    <col min="3059" max="3060" width="0" style="55" hidden="1" customWidth="1"/>
    <col min="3061" max="3061" width="9.7109375" style="55" customWidth="1"/>
    <col min="3062" max="3063" width="0" style="55" hidden="1" customWidth="1"/>
    <col min="3064" max="3064" width="10" style="55" customWidth="1"/>
    <col min="3065" max="3066" width="0" style="55" hidden="1" customWidth="1"/>
    <col min="3067" max="3067" width="12.7109375" style="55" customWidth="1"/>
    <col min="3068" max="3069" width="0" style="55" hidden="1" customWidth="1"/>
    <col min="3070" max="3070" width="12.5703125" style="55" customWidth="1"/>
    <col min="3071" max="3072" width="0" style="55" hidden="1" customWidth="1"/>
    <col min="3073" max="3073" width="10.42578125" style="55" customWidth="1"/>
    <col min="3074" max="3075" width="0" style="55" hidden="1" customWidth="1"/>
    <col min="3076" max="3076" width="9.5703125" style="55" customWidth="1"/>
    <col min="3077" max="3078" width="0" style="55" hidden="1" customWidth="1"/>
    <col min="3079" max="3079" width="10.28515625" style="55" customWidth="1"/>
    <col min="3080" max="3081" width="0" style="55" hidden="1" customWidth="1"/>
    <col min="3082" max="3082" width="11" style="55" customWidth="1"/>
    <col min="3083" max="3084" width="0" style="55" hidden="1" customWidth="1"/>
    <col min="3085" max="3085" width="12.28515625" style="55" customWidth="1"/>
    <col min="3086" max="3087" width="0" style="55" hidden="1" customWidth="1"/>
    <col min="3088" max="3088" width="11.85546875" style="55" customWidth="1"/>
    <col min="3089" max="3090" width="0" style="55" hidden="1" customWidth="1"/>
    <col min="3091" max="3091" width="11" style="55" customWidth="1"/>
    <col min="3092" max="3093" width="0" style="55" hidden="1" customWidth="1"/>
    <col min="3094" max="3094" width="12.140625" style="55" customWidth="1"/>
    <col min="3095" max="3096" width="0" style="55" hidden="1" customWidth="1"/>
    <col min="3097" max="3097" width="11.28515625" style="55" customWidth="1"/>
    <col min="3098" max="3099" width="0" style="55" hidden="1" customWidth="1"/>
    <col min="3100" max="3100" width="11.28515625" style="55" customWidth="1"/>
    <col min="3101" max="3102" width="0" style="55" hidden="1" customWidth="1"/>
    <col min="3103" max="3103" width="10.5703125" style="55" customWidth="1"/>
    <col min="3104" max="3104" width="0" style="55" hidden="1" customWidth="1"/>
    <col min="3105" max="3266" width="9.140625" style="55"/>
    <col min="3267" max="3267" width="10.85546875" style="55" customWidth="1"/>
    <col min="3268" max="3268" width="35.7109375" style="55" customWidth="1"/>
    <col min="3269" max="3270" width="0" style="55" hidden="1" customWidth="1"/>
    <col min="3271" max="3271" width="21.28515625" style="55" customWidth="1"/>
    <col min="3272" max="3272" width="13.42578125" style="55" customWidth="1"/>
    <col min="3273" max="3274" width="0" style="55" hidden="1" customWidth="1"/>
    <col min="3275" max="3275" width="10.42578125" style="55" customWidth="1"/>
    <col min="3276" max="3277" width="0" style="55" hidden="1" customWidth="1"/>
    <col min="3278" max="3278" width="12.42578125" style="55" customWidth="1"/>
    <col min="3279" max="3280" width="0" style="55" hidden="1" customWidth="1"/>
    <col min="3281" max="3281" width="10.42578125" style="55" customWidth="1"/>
    <col min="3282" max="3283" width="0" style="55" hidden="1" customWidth="1"/>
    <col min="3284" max="3284" width="11.140625" style="55" customWidth="1"/>
    <col min="3285" max="3286" width="0" style="55" hidden="1" customWidth="1"/>
    <col min="3287" max="3287" width="10.42578125" style="55" customWidth="1"/>
    <col min="3288" max="3289" width="0" style="55" hidden="1" customWidth="1"/>
    <col min="3290" max="3290" width="9.5703125" style="55" customWidth="1"/>
    <col min="3291" max="3292" width="0" style="55" hidden="1" customWidth="1"/>
    <col min="3293" max="3293" width="10.28515625" style="55" customWidth="1"/>
    <col min="3294" max="3295" width="0" style="55" hidden="1" customWidth="1"/>
    <col min="3296" max="3296" width="10.85546875" style="55" customWidth="1"/>
    <col min="3297" max="3298" width="0" style="55" hidden="1" customWidth="1"/>
    <col min="3299" max="3299" width="12.28515625" style="55" customWidth="1"/>
    <col min="3300" max="3301" width="0" style="55" hidden="1" customWidth="1"/>
    <col min="3302" max="3302" width="11.85546875" style="55" customWidth="1"/>
    <col min="3303" max="3304" width="0" style="55" hidden="1" customWidth="1"/>
    <col min="3305" max="3305" width="10.5703125" style="55" customWidth="1"/>
    <col min="3306" max="3307" width="0" style="55" hidden="1" customWidth="1"/>
    <col min="3308" max="3308" width="10.140625" style="55" customWidth="1"/>
    <col min="3309" max="3310" width="0" style="55" hidden="1" customWidth="1"/>
    <col min="3311" max="3311" width="10.140625" style="55" customWidth="1"/>
    <col min="3312" max="3313" width="0" style="55" hidden="1" customWidth="1"/>
    <col min="3314" max="3314" width="10.42578125" style="55" customWidth="1"/>
    <col min="3315" max="3316" width="0" style="55" hidden="1" customWidth="1"/>
    <col min="3317" max="3317" width="9.7109375" style="55" customWidth="1"/>
    <col min="3318" max="3319" width="0" style="55" hidden="1" customWidth="1"/>
    <col min="3320" max="3320" width="10" style="55" customWidth="1"/>
    <col min="3321" max="3322" width="0" style="55" hidden="1" customWidth="1"/>
    <col min="3323" max="3323" width="12.7109375" style="55" customWidth="1"/>
    <col min="3324" max="3325" width="0" style="55" hidden="1" customWidth="1"/>
    <col min="3326" max="3326" width="12.5703125" style="55" customWidth="1"/>
    <col min="3327" max="3328" width="0" style="55" hidden="1" customWidth="1"/>
    <col min="3329" max="3329" width="10.42578125" style="55" customWidth="1"/>
    <col min="3330" max="3331" width="0" style="55" hidden="1" customWidth="1"/>
    <col min="3332" max="3332" width="9.5703125" style="55" customWidth="1"/>
    <col min="3333" max="3334" width="0" style="55" hidden="1" customWidth="1"/>
    <col min="3335" max="3335" width="10.28515625" style="55" customWidth="1"/>
    <col min="3336" max="3337" width="0" style="55" hidden="1" customWidth="1"/>
    <col min="3338" max="3338" width="11" style="55" customWidth="1"/>
    <col min="3339" max="3340" width="0" style="55" hidden="1" customWidth="1"/>
    <col min="3341" max="3341" width="12.28515625" style="55" customWidth="1"/>
    <col min="3342" max="3343" width="0" style="55" hidden="1" customWidth="1"/>
    <col min="3344" max="3344" width="11.85546875" style="55" customWidth="1"/>
    <col min="3345" max="3346" width="0" style="55" hidden="1" customWidth="1"/>
    <col min="3347" max="3347" width="11" style="55" customWidth="1"/>
    <col min="3348" max="3349" width="0" style="55" hidden="1" customWidth="1"/>
    <col min="3350" max="3350" width="12.140625" style="55" customWidth="1"/>
    <col min="3351" max="3352" width="0" style="55" hidden="1" customWidth="1"/>
    <col min="3353" max="3353" width="11.28515625" style="55" customWidth="1"/>
    <col min="3354" max="3355" width="0" style="55" hidden="1" customWidth="1"/>
    <col min="3356" max="3356" width="11.28515625" style="55" customWidth="1"/>
    <col min="3357" max="3358" width="0" style="55" hidden="1" customWidth="1"/>
    <col min="3359" max="3359" width="10.5703125" style="55" customWidth="1"/>
    <col min="3360" max="3360" width="0" style="55" hidden="1" customWidth="1"/>
    <col min="3361" max="3522" width="9.140625" style="55"/>
    <col min="3523" max="3523" width="10.85546875" style="55" customWidth="1"/>
    <col min="3524" max="3524" width="35.7109375" style="55" customWidth="1"/>
    <col min="3525" max="3526" width="0" style="55" hidden="1" customWidth="1"/>
    <col min="3527" max="3527" width="21.28515625" style="55" customWidth="1"/>
    <col min="3528" max="3528" width="13.42578125" style="55" customWidth="1"/>
    <col min="3529" max="3530" width="0" style="55" hidden="1" customWidth="1"/>
    <col min="3531" max="3531" width="10.42578125" style="55" customWidth="1"/>
    <col min="3532" max="3533" width="0" style="55" hidden="1" customWidth="1"/>
    <col min="3534" max="3534" width="12.42578125" style="55" customWidth="1"/>
    <col min="3535" max="3536" width="0" style="55" hidden="1" customWidth="1"/>
    <col min="3537" max="3537" width="10.42578125" style="55" customWidth="1"/>
    <col min="3538" max="3539" width="0" style="55" hidden="1" customWidth="1"/>
    <col min="3540" max="3540" width="11.140625" style="55" customWidth="1"/>
    <col min="3541" max="3542" width="0" style="55" hidden="1" customWidth="1"/>
    <col min="3543" max="3543" width="10.42578125" style="55" customWidth="1"/>
    <col min="3544" max="3545" width="0" style="55" hidden="1" customWidth="1"/>
    <col min="3546" max="3546" width="9.5703125" style="55" customWidth="1"/>
    <col min="3547" max="3548" width="0" style="55" hidden="1" customWidth="1"/>
    <col min="3549" max="3549" width="10.28515625" style="55" customWidth="1"/>
    <col min="3550" max="3551" width="0" style="55" hidden="1" customWidth="1"/>
    <col min="3552" max="3552" width="10.85546875" style="55" customWidth="1"/>
    <col min="3553" max="3554" width="0" style="55" hidden="1" customWidth="1"/>
    <col min="3555" max="3555" width="12.28515625" style="55" customWidth="1"/>
    <col min="3556" max="3557" width="0" style="55" hidden="1" customWidth="1"/>
    <col min="3558" max="3558" width="11.85546875" style="55" customWidth="1"/>
    <col min="3559" max="3560" width="0" style="55" hidden="1" customWidth="1"/>
    <col min="3561" max="3561" width="10.5703125" style="55" customWidth="1"/>
    <col min="3562" max="3563" width="0" style="55" hidden="1" customWidth="1"/>
    <col min="3564" max="3564" width="10.140625" style="55" customWidth="1"/>
    <col min="3565" max="3566" width="0" style="55" hidden="1" customWidth="1"/>
    <col min="3567" max="3567" width="10.140625" style="55" customWidth="1"/>
    <col min="3568" max="3569" width="0" style="55" hidden="1" customWidth="1"/>
    <col min="3570" max="3570" width="10.42578125" style="55" customWidth="1"/>
    <col min="3571" max="3572" width="0" style="55" hidden="1" customWidth="1"/>
    <col min="3573" max="3573" width="9.7109375" style="55" customWidth="1"/>
    <col min="3574" max="3575" width="0" style="55" hidden="1" customWidth="1"/>
    <col min="3576" max="3576" width="10" style="55" customWidth="1"/>
    <col min="3577" max="3578" width="0" style="55" hidden="1" customWidth="1"/>
    <col min="3579" max="3579" width="12.7109375" style="55" customWidth="1"/>
    <col min="3580" max="3581" width="0" style="55" hidden="1" customWidth="1"/>
    <col min="3582" max="3582" width="12.5703125" style="55" customWidth="1"/>
    <col min="3583" max="3584" width="0" style="55" hidden="1" customWidth="1"/>
    <col min="3585" max="3585" width="10.42578125" style="55" customWidth="1"/>
    <col min="3586" max="3587" width="0" style="55" hidden="1" customWidth="1"/>
    <col min="3588" max="3588" width="9.5703125" style="55" customWidth="1"/>
    <col min="3589" max="3590" width="0" style="55" hidden="1" customWidth="1"/>
    <col min="3591" max="3591" width="10.28515625" style="55" customWidth="1"/>
    <col min="3592" max="3593" width="0" style="55" hidden="1" customWidth="1"/>
    <col min="3594" max="3594" width="11" style="55" customWidth="1"/>
    <col min="3595" max="3596" width="0" style="55" hidden="1" customWidth="1"/>
    <col min="3597" max="3597" width="12.28515625" style="55" customWidth="1"/>
    <col min="3598" max="3599" width="0" style="55" hidden="1" customWidth="1"/>
    <col min="3600" max="3600" width="11.85546875" style="55" customWidth="1"/>
    <col min="3601" max="3602" width="0" style="55" hidden="1" customWidth="1"/>
    <col min="3603" max="3603" width="11" style="55" customWidth="1"/>
    <col min="3604" max="3605" width="0" style="55" hidden="1" customWidth="1"/>
    <col min="3606" max="3606" width="12.140625" style="55" customWidth="1"/>
    <col min="3607" max="3608" width="0" style="55" hidden="1" customWidth="1"/>
    <col min="3609" max="3609" width="11.28515625" style="55" customWidth="1"/>
    <col min="3610" max="3611" width="0" style="55" hidden="1" customWidth="1"/>
    <col min="3612" max="3612" width="11.28515625" style="55" customWidth="1"/>
    <col min="3613" max="3614" width="0" style="55" hidden="1" customWidth="1"/>
    <col min="3615" max="3615" width="10.5703125" style="55" customWidth="1"/>
    <col min="3616" max="3616" width="0" style="55" hidden="1" customWidth="1"/>
    <col min="3617" max="3778" width="9.140625" style="55"/>
    <col min="3779" max="3779" width="10.85546875" style="55" customWidth="1"/>
    <col min="3780" max="3780" width="35.7109375" style="55" customWidth="1"/>
    <col min="3781" max="3782" width="0" style="55" hidden="1" customWidth="1"/>
    <col min="3783" max="3783" width="21.28515625" style="55" customWidth="1"/>
    <col min="3784" max="3784" width="13.42578125" style="55" customWidth="1"/>
    <col min="3785" max="3786" width="0" style="55" hidden="1" customWidth="1"/>
    <col min="3787" max="3787" width="10.42578125" style="55" customWidth="1"/>
    <col min="3788" max="3789" width="0" style="55" hidden="1" customWidth="1"/>
    <col min="3790" max="3790" width="12.42578125" style="55" customWidth="1"/>
    <col min="3791" max="3792" width="0" style="55" hidden="1" customWidth="1"/>
    <col min="3793" max="3793" width="10.42578125" style="55" customWidth="1"/>
    <col min="3794" max="3795" width="0" style="55" hidden="1" customWidth="1"/>
    <col min="3796" max="3796" width="11.140625" style="55" customWidth="1"/>
    <col min="3797" max="3798" width="0" style="55" hidden="1" customWidth="1"/>
    <col min="3799" max="3799" width="10.42578125" style="55" customWidth="1"/>
    <col min="3800" max="3801" width="0" style="55" hidden="1" customWidth="1"/>
    <col min="3802" max="3802" width="9.5703125" style="55" customWidth="1"/>
    <col min="3803" max="3804" width="0" style="55" hidden="1" customWidth="1"/>
    <col min="3805" max="3805" width="10.28515625" style="55" customWidth="1"/>
    <col min="3806" max="3807" width="0" style="55" hidden="1" customWidth="1"/>
    <col min="3808" max="3808" width="10.85546875" style="55" customWidth="1"/>
    <col min="3809" max="3810" width="0" style="55" hidden="1" customWidth="1"/>
    <col min="3811" max="3811" width="12.28515625" style="55" customWidth="1"/>
    <col min="3812" max="3813" width="0" style="55" hidden="1" customWidth="1"/>
    <col min="3814" max="3814" width="11.85546875" style="55" customWidth="1"/>
    <col min="3815" max="3816" width="0" style="55" hidden="1" customWidth="1"/>
    <col min="3817" max="3817" width="10.5703125" style="55" customWidth="1"/>
    <col min="3818" max="3819" width="0" style="55" hidden="1" customWidth="1"/>
    <col min="3820" max="3820" width="10.140625" style="55" customWidth="1"/>
    <col min="3821" max="3822" width="0" style="55" hidden="1" customWidth="1"/>
    <col min="3823" max="3823" width="10.140625" style="55" customWidth="1"/>
    <col min="3824" max="3825" width="0" style="55" hidden="1" customWidth="1"/>
    <col min="3826" max="3826" width="10.42578125" style="55" customWidth="1"/>
    <col min="3827" max="3828" width="0" style="55" hidden="1" customWidth="1"/>
    <col min="3829" max="3829" width="9.7109375" style="55" customWidth="1"/>
    <col min="3830" max="3831" width="0" style="55" hidden="1" customWidth="1"/>
    <col min="3832" max="3832" width="10" style="55" customWidth="1"/>
    <col min="3833" max="3834" width="0" style="55" hidden="1" customWidth="1"/>
    <col min="3835" max="3835" width="12.7109375" style="55" customWidth="1"/>
    <col min="3836" max="3837" width="0" style="55" hidden="1" customWidth="1"/>
    <col min="3838" max="3838" width="12.5703125" style="55" customWidth="1"/>
    <col min="3839" max="3840" width="0" style="55" hidden="1" customWidth="1"/>
    <col min="3841" max="3841" width="10.42578125" style="55" customWidth="1"/>
    <col min="3842" max="3843" width="0" style="55" hidden="1" customWidth="1"/>
    <col min="3844" max="3844" width="9.5703125" style="55" customWidth="1"/>
    <col min="3845" max="3846" width="0" style="55" hidden="1" customWidth="1"/>
    <col min="3847" max="3847" width="10.28515625" style="55" customWidth="1"/>
    <col min="3848" max="3849" width="0" style="55" hidden="1" customWidth="1"/>
    <col min="3850" max="3850" width="11" style="55" customWidth="1"/>
    <col min="3851" max="3852" width="0" style="55" hidden="1" customWidth="1"/>
    <col min="3853" max="3853" width="12.28515625" style="55" customWidth="1"/>
    <col min="3854" max="3855" width="0" style="55" hidden="1" customWidth="1"/>
    <col min="3856" max="3856" width="11.85546875" style="55" customWidth="1"/>
    <col min="3857" max="3858" width="0" style="55" hidden="1" customWidth="1"/>
    <col min="3859" max="3859" width="11" style="55" customWidth="1"/>
    <col min="3860" max="3861" width="0" style="55" hidden="1" customWidth="1"/>
    <col min="3862" max="3862" width="12.140625" style="55" customWidth="1"/>
    <col min="3863" max="3864" width="0" style="55" hidden="1" customWidth="1"/>
    <col min="3865" max="3865" width="11.28515625" style="55" customWidth="1"/>
    <col min="3866" max="3867" width="0" style="55" hidden="1" customWidth="1"/>
    <col min="3868" max="3868" width="11.28515625" style="55" customWidth="1"/>
    <col min="3869" max="3870" width="0" style="55" hidden="1" customWidth="1"/>
    <col min="3871" max="3871" width="10.5703125" style="55" customWidth="1"/>
    <col min="3872" max="3872" width="0" style="55" hidden="1" customWidth="1"/>
    <col min="3873" max="4034" width="9.140625" style="55"/>
    <col min="4035" max="4035" width="10.85546875" style="55" customWidth="1"/>
    <col min="4036" max="4036" width="35.7109375" style="55" customWidth="1"/>
    <col min="4037" max="4038" width="0" style="55" hidden="1" customWidth="1"/>
    <col min="4039" max="4039" width="21.28515625" style="55" customWidth="1"/>
    <col min="4040" max="4040" width="13.42578125" style="55" customWidth="1"/>
    <col min="4041" max="4042" width="0" style="55" hidden="1" customWidth="1"/>
    <col min="4043" max="4043" width="10.42578125" style="55" customWidth="1"/>
    <col min="4044" max="4045" width="0" style="55" hidden="1" customWidth="1"/>
    <col min="4046" max="4046" width="12.42578125" style="55" customWidth="1"/>
    <col min="4047" max="4048" width="0" style="55" hidden="1" customWidth="1"/>
    <col min="4049" max="4049" width="10.42578125" style="55" customWidth="1"/>
    <col min="4050" max="4051" width="0" style="55" hidden="1" customWidth="1"/>
    <col min="4052" max="4052" width="11.140625" style="55" customWidth="1"/>
    <col min="4053" max="4054" width="0" style="55" hidden="1" customWidth="1"/>
    <col min="4055" max="4055" width="10.42578125" style="55" customWidth="1"/>
    <col min="4056" max="4057" width="0" style="55" hidden="1" customWidth="1"/>
    <col min="4058" max="4058" width="9.5703125" style="55" customWidth="1"/>
    <col min="4059" max="4060" width="0" style="55" hidden="1" customWidth="1"/>
    <col min="4061" max="4061" width="10.28515625" style="55" customWidth="1"/>
    <col min="4062" max="4063" width="0" style="55" hidden="1" customWidth="1"/>
    <col min="4064" max="4064" width="10.85546875" style="55" customWidth="1"/>
    <col min="4065" max="4066" width="0" style="55" hidden="1" customWidth="1"/>
    <col min="4067" max="4067" width="12.28515625" style="55" customWidth="1"/>
    <col min="4068" max="4069" width="0" style="55" hidden="1" customWidth="1"/>
    <col min="4070" max="4070" width="11.85546875" style="55" customWidth="1"/>
    <col min="4071" max="4072" width="0" style="55" hidden="1" customWidth="1"/>
    <col min="4073" max="4073" width="10.5703125" style="55" customWidth="1"/>
    <col min="4074" max="4075" width="0" style="55" hidden="1" customWidth="1"/>
    <col min="4076" max="4076" width="10.140625" style="55" customWidth="1"/>
    <col min="4077" max="4078" width="0" style="55" hidden="1" customWidth="1"/>
    <col min="4079" max="4079" width="10.140625" style="55" customWidth="1"/>
    <col min="4080" max="4081" width="0" style="55" hidden="1" customWidth="1"/>
    <col min="4082" max="4082" width="10.42578125" style="55" customWidth="1"/>
    <col min="4083" max="4084" width="0" style="55" hidden="1" customWidth="1"/>
    <col min="4085" max="4085" width="9.7109375" style="55" customWidth="1"/>
    <col min="4086" max="4087" width="0" style="55" hidden="1" customWidth="1"/>
    <col min="4088" max="4088" width="10" style="55" customWidth="1"/>
    <col min="4089" max="4090" width="0" style="55" hidden="1" customWidth="1"/>
    <col min="4091" max="4091" width="12.7109375" style="55" customWidth="1"/>
    <col min="4092" max="4093" width="0" style="55" hidden="1" customWidth="1"/>
    <col min="4094" max="4094" width="12.5703125" style="55" customWidth="1"/>
    <col min="4095" max="4096" width="0" style="55" hidden="1" customWidth="1"/>
    <col min="4097" max="4097" width="10.42578125" style="55" customWidth="1"/>
    <col min="4098" max="4099" width="0" style="55" hidden="1" customWidth="1"/>
    <col min="4100" max="4100" width="9.5703125" style="55" customWidth="1"/>
    <col min="4101" max="4102" width="0" style="55" hidden="1" customWidth="1"/>
    <col min="4103" max="4103" width="10.28515625" style="55" customWidth="1"/>
    <col min="4104" max="4105" width="0" style="55" hidden="1" customWidth="1"/>
    <col min="4106" max="4106" width="11" style="55" customWidth="1"/>
    <col min="4107" max="4108" width="0" style="55" hidden="1" customWidth="1"/>
    <col min="4109" max="4109" width="12.28515625" style="55" customWidth="1"/>
    <col min="4110" max="4111" width="0" style="55" hidden="1" customWidth="1"/>
    <col min="4112" max="4112" width="11.85546875" style="55" customWidth="1"/>
    <col min="4113" max="4114" width="0" style="55" hidden="1" customWidth="1"/>
    <col min="4115" max="4115" width="11" style="55" customWidth="1"/>
    <col min="4116" max="4117" width="0" style="55" hidden="1" customWidth="1"/>
    <col min="4118" max="4118" width="12.140625" style="55" customWidth="1"/>
    <col min="4119" max="4120" width="0" style="55" hidden="1" customWidth="1"/>
    <col min="4121" max="4121" width="11.28515625" style="55" customWidth="1"/>
    <col min="4122" max="4123" width="0" style="55" hidden="1" customWidth="1"/>
    <col min="4124" max="4124" width="11.28515625" style="55" customWidth="1"/>
    <col min="4125" max="4126" width="0" style="55" hidden="1" customWidth="1"/>
    <col min="4127" max="4127" width="10.5703125" style="55" customWidth="1"/>
    <col min="4128" max="4128" width="0" style="55" hidden="1" customWidth="1"/>
    <col min="4129" max="4290" width="9.140625" style="55"/>
    <col min="4291" max="4291" width="10.85546875" style="55" customWidth="1"/>
    <col min="4292" max="4292" width="35.7109375" style="55" customWidth="1"/>
    <col min="4293" max="4294" width="0" style="55" hidden="1" customWidth="1"/>
    <col min="4295" max="4295" width="21.28515625" style="55" customWidth="1"/>
    <col min="4296" max="4296" width="13.42578125" style="55" customWidth="1"/>
    <col min="4297" max="4298" width="0" style="55" hidden="1" customWidth="1"/>
    <col min="4299" max="4299" width="10.42578125" style="55" customWidth="1"/>
    <col min="4300" max="4301" width="0" style="55" hidden="1" customWidth="1"/>
    <col min="4302" max="4302" width="12.42578125" style="55" customWidth="1"/>
    <col min="4303" max="4304" width="0" style="55" hidden="1" customWidth="1"/>
    <col min="4305" max="4305" width="10.42578125" style="55" customWidth="1"/>
    <col min="4306" max="4307" width="0" style="55" hidden="1" customWidth="1"/>
    <col min="4308" max="4308" width="11.140625" style="55" customWidth="1"/>
    <col min="4309" max="4310" width="0" style="55" hidden="1" customWidth="1"/>
    <col min="4311" max="4311" width="10.42578125" style="55" customWidth="1"/>
    <col min="4312" max="4313" width="0" style="55" hidden="1" customWidth="1"/>
    <col min="4314" max="4314" width="9.5703125" style="55" customWidth="1"/>
    <col min="4315" max="4316" width="0" style="55" hidden="1" customWidth="1"/>
    <col min="4317" max="4317" width="10.28515625" style="55" customWidth="1"/>
    <col min="4318" max="4319" width="0" style="55" hidden="1" customWidth="1"/>
    <col min="4320" max="4320" width="10.85546875" style="55" customWidth="1"/>
    <col min="4321" max="4322" width="0" style="55" hidden="1" customWidth="1"/>
    <col min="4323" max="4323" width="12.28515625" style="55" customWidth="1"/>
    <col min="4324" max="4325" width="0" style="55" hidden="1" customWidth="1"/>
    <col min="4326" max="4326" width="11.85546875" style="55" customWidth="1"/>
    <col min="4327" max="4328" width="0" style="55" hidden="1" customWidth="1"/>
    <col min="4329" max="4329" width="10.5703125" style="55" customWidth="1"/>
    <col min="4330" max="4331" width="0" style="55" hidden="1" customWidth="1"/>
    <col min="4332" max="4332" width="10.140625" style="55" customWidth="1"/>
    <col min="4333" max="4334" width="0" style="55" hidden="1" customWidth="1"/>
    <col min="4335" max="4335" width="10.140625" style="55" customWidth="1"/>
    <col min="4336" max="4337" width="0" style="55" hidden="1" customWidth="1"/>
    <col min="4338" max="4338" width="10.42578125" style="55" customWidth="1"/>
    <col min="4339" max="4340" width="0" style="55" hidden="1" customWidth="1"/>
    <col min="4341" max="4341" width="9.7109375" style="55" customWidth="1"/>
    <col min="4342" max="4343" width="0" style="55" hidden="1" customWidth="1"/>
    <col min="4344" max="4344" width="10" style="55" customWidth="1"/>
    <col min="4345" max="4346" width="0" style="55" hidden="1" customWidth="1"/>
    <col min="4347" max="4347" width="12.7109375" style="55" customWidth="1"/>
    <col min="4348" max="4349" width="0" style="55" hidden="1" customWidth="1"/>
    <col min="4350" max="4350" width="12.5703125" style="55" customWidth="1"/>
    <col min="4351" max="4352" width="0" style="55" hidden="1" customWidth="1"/>
    <col min="4353" max="4353" width="10.42578125" style="55" customWidth="1"/>
    <col min="4354" max="4355" width="0" style="55" hidden="1" customWidth="1"/>
    <col min="4356" max="4356" width="9.5703125" style="55" customWidth="1"/>
    <col min="4357" max="4358" width="0" style="55" hidden="1" customWidth="1"/>
    <col min="4359" max="4359" width="10.28515625" style="55" customWidth="1"/>
    <col min="4360" max="4361" width="0" style="55" hidden="1" customWidth="1"/>
    <col min="4362" max="4362" width="11" style="55" customWidth="1"/>
    <col min="4363" max="4364" width="0" style="55" hidden="1" customWidth="1"/>
    <col min="4365" max="4365" width="12.28515625" style="55" customWidth="1"/>
    <col min="4366" max="4367" width="0" style="55" hidden="1" customWidth="1"/>
    <col min="4368" max="4368" width="11.85546875" style="55" customWidth="1"/>
    <col min="4369" max="4370" width="0" style="55" hidden="1" customWidth="1"/>
    <col min="4371" max="4371" width="11" style="55" customWidth="1"/>
    <col min="4372" max="4373" width="0" style="55" hidden="1" customWidth="1"/>
    <col min="4374" max="4374" width="12.140625" style="55" customWidth="1"/>
    <col min="4375" max="4376" width="0" style="55" hidden="1" customWidth="1"/>
    <col min="4377" max="4377" width="11.28515625" style="55" customWidth="1"/>
    <col min="4378" max="4379" width="0" style="55" hidden="1" customWidth="1"/>
    <col min="4380" max="4380" width="11.28515625" style="55" customWidth="1"/>
    <col min="4381" max="4382" width="0" style="55" hidden="1" customWidth="1"/>
    <col min="4383" max="4383" width="10.5703125" style="55" customWidth="1"/>
    <col min="4384" max="4384" width="0" style="55" hidden="1" customWidth="1"/>
    <col min="4385" max="4546" width="9.140625" style="55"/>
    <col min="4547" max="4547" width="10.85546875" style="55" customWidth="1"/>
    <col min="4548" max="4548" width="35.7109375" style="55" customWidth="1"/>
    <col min="4549" max="4550" width="0" style="55" hidden="1" customWidth="1"/>
    <col min="4551" max="4551" width="21.28515625" style="55" customWidth="1"/>
    <col min="4552" max="4552" width="13.42578125" style="55" customWidth="1"/>
    <col min="4553" max="4554" width="0" style="55" hidden="1" customWidth="1"/>
    <col min="4555" max="4555" width="10.42578125" style="55" customWidth="1"/>
    <col min="4556" max="4557" width="0" style="55" hidden="1" customWidth="1"/>
    <col min="4558" max="4558" width="12.42578125" style="55" customWidth="1"/>
    <col min="4559" max="4560" width="0" style="55" hidden="1" customWidth="1"/>
    <col min="4561" max="4561" width="10.42578125" style="55" customWidth="1"/>
    <col min="4562" max="4563" width="0" style="55" hidden="1" customWidth="1"/>
    <col min="4564" max="4564" width="11.140625" style="55" customWidth="1"/>
    <col min="4565" max="4566" width="0" style="55" hidden="1" customWidth="1"/>
    <col min="4567" max="4567" width="10.42578125" style="55" customWidth="1"/>
    <col min="4568" max="4569" width="0" style="55" hidden="1" customWidth="1"/>
    <col min="4570" max="4570" width="9.5703125" style="55" customWidth="1"/>
    <col min="4571" max="4572" width="0" style="55" hidden="1" customWidth="1"/>
    <col min="4573" max="4573" width="10.28515625" style="55" customWidth="1"/>
    <col min="4574" max="4575" width="0" style="55" hidden="1" customWidth="1"/>
    <col min="4576" max="4576" width="10.85546875" style="55" customWidth="1"/>
    <col min="4577" max="4578" width="0" style="55" hidden="1" customWidth="1"/>
    <col min="4579" max="4579" width="12.28515625" style="55" customWidth="1"/>
    <col min="4580" max="4581" width="0" style="55" hidden="1" customWidth="1"/>
    <col min="4582" max="4582" width="11.85546875" style="55" customWidth="1"/>
    <col min="4583" max="4584" width="0" style="55" hidden="1" customWidth="1"/>
    <col min="4585" max="4585" width="10.5703125" style="55" customWidth="1"/>
    <col min="4586" max="4587" width="0" style="55" hidden="1" customWidth="1"/>
    <col min="4588" max="4588" width="10.140625" style="55" customWidth="1"/>
    <col min="4589" max="4590" width="0" style="55" hidden="1" customWidth="1"/>
    <col min="4591" max="4591" width="10.140625" style="55" customWidth="1"/>
    <col min="4592" max="4593" width="0" style="55" hidden="1" customWidth="1"/>
    <col min="4594" max="4594" width="10.42578125" style="55" customWidth="1"/>
    <col min="4595" max="4596" width="0" style="55" hidden="1" customWidth="1"/>
    <col min="4597" max="4597" width="9.7109375" style="55" customWidth="1"/>
    <col min="4598" max="4599" width="0" style="55" hidden="1" customWidth="1"/>
    <col min="4600" max="4600" width="10" style="55" customWidth="1"/>
    <col min="4601" max="4602" width="0" style="55" hidden="1" customWidth="1"/>
    <col min="4603" max="4603" width="12.7109375" style="55" customWidth="1"/>
    <col min="4604" max="4605" width="0" style="55" hidden="1" customWidth="1"/>
    <col min="4606" max="4606" width="12.5703125" style="55" customWidth="1"/>
    <col min="4607" max="4608" width="0" style="55" hidden="1" customWidth="1"/>
    <col min="4609" max="4609" width="10.42578125" style="55" customWidth="1"/>
    <col min="4610" max="4611" width="0" style="55" hidden="1" customWidth="1"/>
    <col min="4612" max="4612" width="9.5703125" style="55" customWidth="1"/>
    <col min="4613" max="4614" width="0" style="55" hidden="1" customWidth="1"/>
    <col min="4615" max="4615" width="10.28515625" style="55" customWidth="1"/>
    <col min="4616" max="4617" width="0" style="55" hidden="1" customWidth="1"/>
    <col min="4618" max="4618" width="11" style="55" customWidth="1"/>
    <col min="4619" max="4620" width="0" style="55" hidden="1" customWidth="1"/>
    <col min="4621" max="4621" width="12.28515625" style="55" customWidth="1"/>
    <col min="4622" max="4623" width="0" style="55" hidden="1" customWidth="1"/>
    <col min="4624" max="4624" width="11.85546875" style="55" customWidth="1"/>
    <col min="4625" max="4626" width="0" style="55" hidden="1" customWidth="1"/>
    <col min="4627" max="4627" width="11" style="55" customWidth="1"/>
    <col min="4628" max="4629" width="0" style="55" hidden="1" customWidth="1"/>
    <col min="4630" max="4630" width="12.140625" style="55" customWidth="1"/>
    <col min="4631" max="4632" width="0" style="55" hidden="1" customWidth="1"/>
    <col min="4633" max="4633" width="11.28515625" style="55" customWidth="1"/>
    <col min="4634" max="4635" width="0" style="55" hidden="1" customWidth="1"/>
    <col min="4636" max="4636" width="11.28515625" style="55" customWidth="1"/>
    <col min="4637" max="4638" width="0" style="55" hidden="1" customWidth="1"/>
    <col min="4639" max="4639" width="10.5703125" style="55" customWidth="1"/>
    <col min="4640" max="4640" width="0" style="55" hidden="1" customWidth="1"/>
    <col min="4641" max="4802" width="9.140625" style="55"/>
    <col min="4803" max="4803" width="10.85546875" style="55" customWidth="1"/>
    <col min="4804" max="4804" width="35.7109375" style="55" customWidth="1"/>
    <col min="4805" max="4806" width="0" style="55" hidden="1" customWidth="1"/>
    <col min="4807" max="4807" width="21.28515625" style="55" customWidth="1"/>
    <col min="4808" max="4808" width="13.42578125" style="55" customWidth="1"/>
    <col min="4809" max="4810" width="0" style="55" hidden="1" customWidth="1"/>
    <col min="4811" max="4811" width="10.42578125" style="55" customWidth="1"/>
    <col min="4812" max="4813" width="0" style="55" hidden="1" customWidth="1"/>
    <col min="4814" max="4814" width="12.42578125" style="55" customWidth="1"/>
    <col min="4815" max="4816" width="0" style="55" hidden="1" customWidth="1"/>
    <col min="4817" max="4817" width="10.42578125" style="55" customWidth="1"/>
    <col min="4818" max="4819" width="0" style="55" hidden="1" customWidth="1"/>
    <col min="4820" max="4820" width="11.140625" style="55" customWidth="1"/>
    <col min="4821" max="4822" width="0" style="55" hidden="1" customWidth="1"/>
    <col min="4823" max="4823" width="10.42578125" style="55" customWidth="1"/>
    <col min="4824" max="4825" width="0" style="55" hidden="1" customWidth="1"/>
    <col min="4826" max="4826" width="9.5703125" style="55" customWidth="1"/>
    <col min="4827" max="4828" width="0" style="55" hidden="1" customWidth="1"/>
    <col min="4829" max="4829" width="10.28515625" style="55" customWidth="1"/>
    <col min="4830" max="4831" width="0" style="55" hidden="1" customWidth="1"/>
    <col min="4832" max="4832" width="10.85546875" style="55" customWidth="1"/>
    <col min="4833" max="4834" width="0" style="55" hidden="1" customWidth="1"/>
    <col min="4835" max="4835" width="12.28515625" style="55" customWidth="1"/>
    <col min="4836" max="4837" width="0" style="55" hidden="1" customWidth="1"/>
    <col min="4838" max="4838" width="11.85546875" style="55" customWidth="1"/>
    <col min="4839" max="4840" width="0" style="55" hidden="1" customWidth="1"/>
    <col min="4841" max="4841" width="10.5703125" style="55" customWidth="1"/>
    <col min="4842" max="4843" width="0" style="55" hidden="1" customWidth="1"/>
    <col min="4844" max="4844" width="10.140625" style="55" customWidth="1"/>
    <col min="4845" max="4846" width="0" style="55" hidden="1" customWidth="1"/>
    <col min="4847" max="4847" width="10.140625" style="55" customWidth="1"/>
    <col min="4848" max="4849" width="0" style="55" hidden="1" customWidth="1"/>
    <col min="4850" max="4850" width="10.42578125" style="55" customWidth="1"/>
    <col min="4851" max="4852" width="0" style="55" hidden="1" customWidth="1"/>
    <col min="4853" max="4853" width="9.7109375" style="55" customWidth="1"/>
    <col min="4854" max="4855" width="0" style="55" hidden="1" customWidth="1"/>
    <col min="4856" max="4856" width="10" style="55" customWidth="1"/>
    <col min="4857" max="4858" width="0" style="55" hidden="1" customWidth="1"/>
    <col min="4859" max="4859" width="12.7109375" style="55" customWidth="1"/>
    <col min="4860" max="4861" width="0" style="55" hidden="1" customWidth="1"/>
    <col min="4862" max="4862" width="12.5703125" style="55" customWidth="1"/>
    <col min="4863" max="4864" width="0" style="55" hidden="1" customWidth="1"/>
    <col min="4865" max="4865" width="10.42578125" style="55" customWidth="1"/>
    <col min="4866" max="4867" width="0" style="55" hidden="1" customWidth="1"/>
    <col min="4868" max="4868" width="9.5703125" style="55" customWidth="1"/>
    <col min="4869" max="4870" width="0" style="55" hidden="1" customWidth="1"/>
    <col min="4871" max="4871" width="10.28515625" style="55" customWidth="1"/>
    <col min="4872" max="4873" width="0" style="55" hidden="1" customWidth="1"/>
    <col min="4874" max="4874" width="11" style="55" customWidth="1"/>
    <col min="4875" max="4876" width="0" style="55" hidden="1" customWidth="1"/>
    <col min="4877" max="4877" width="12.28515625" style="55" customWidth="1"/>
    <col min="4878" max="4879" width="0" style="55" hidden="1" customWidth="1"/>
    <col min="4880" max="4880" width="11.85546875" style="55" customWidth="1"/>
    <col min="4881" max="4882" width="0" style="55" hidden="1" customWidth="1"/>
    <col min="4883" max="4883" width="11" style="55" customWidth="1"/>
    <col min="4884" max="4885" width="0" style="55" hidden="1" customWidth="1"/>
    <col min="4886" max="4886" width="12.140625" style="55" customWidth="1"/>
    <col min="4887" max="4888" width="0" style="55" hidden="1" customWidth="1"/>
    <col min="4889" max="4889" width="11.28515625" style="55" customWidth="1"/>
    <col min="4890" max="4891" width="0" style="55" hidden="1" customWidth="1"/>
    <col min="4892" max="4892" width="11.28515625" style="55" customWidth="1"/>
    <col min="4893" max="4894" width="0" style="55" hidden="1" customWidth="1"/>
    <col min="4895" max="4895" width="10.5703125" style="55" customWidth="1"/>
    <col min="4896" max="4896" width="0" style="55" hidden="1" customWidth="1"/>
    <col min="4897" max="5058" width="9.140625" style="55"/>
    <col min="5059" max="5059" width="10.85546875" style="55" customWidth="1"/>
    <col min="5060" max="5060" width="35.7109375" style="55" customWidth="1"/>
    <col min="5061" max="5062" width="0" style="55" hidden="1" customWidth="1"/>
    <col min="5063" max="5063" width="21.28515625" style="55" customWidth="1"/>
    <col min="5064" max="5064" width="13.42578125" style="55" customWidth="1"/>
    <col min="5065" max="5066" width="0" style="55" hidden="1" customWidth="1"/>
    <col min="5067" max="5067" width="10.42578125" style="55" customWidth="1"/>
    <col min="5068" max="5069" width="0" style="55" hidden="1" customWidth="1"/>
    <col min="5070" max="5070" width="12.42578125" style="55" customWidth="1"/>
    <col min="5071" max="5072" width="0" style="55" hidden="1" customWidth="1"/>
    <col min="5073" max="5073" width="10.42578125" style="55" customWidth="1"/>
    <col min="5074" max="5075" width="0" style="55" hidden="1" customWidth="1"/>
    <col min="5076" max="5076" width="11.140625" style="55" customWidth="1"/>
    <col min="5077" max="5078" width="0" style="55" hidden="1" customWidth="1"/>
    <col min="5079" max="5079" width="10.42578125" style="55" customWidth="1"/>
    <col min="5080" max="5081" width="0" style="55" hidden="1" customWidth="1"/>
    <col min="5082" max="5082" width="9.5703125" style="55" customWidth="1"/>
    <col min="5083" max="5084" width="0" style="55" hidden="1" customWidth="1"/>
    <col min="5085" max="5085" width="10.28515625" style="55" customWidth="1"/>
    <col min="5086" max="5087" width="0" style="55" hidden="1" customWidth="1"/>
    <col min="5088" max="5088" width="10.85546875" style="55" customWidth="1"/>
    <col min="5089" max="5090" width="0" style="55" hidden="1" customWidth="1"/>
    <col min="5091" max="5091" width="12.28515625" style="55" customWidth="1"/>
    <col min="5092" max="5093" width="0" style="55" hidden="1" customWidth="1"/>
    <col min="5094" max="5094" width="11.85546875" style="55" customWidth="1"/>
    <col min="5095" max="5096" width="0" style="55" hidden="1" customWidth="1"/>
    <col min="5097" max="5097" width="10.5703125" style="55" customWidth="1"/>
    <col min="5098" max="5099" width="0" style="55" hidden="1" customWidth="1"/>
    <col min="5100" max="5100" width="10.140625" style="55" customWidth="1"/>
    <col min="5101" max="5102" width="0" style="55" hidden="1" customWidth="1"/>
    <col min="5103" max="5103" width="10.140625" style="55" customWidth="1"/>
    <col min="5104" max="5105" width="0" style="55" hidden="1" customWidth="1"/>
    <col min="5106" max="5106" width="10.42578125" style="55" customWidth="1"/>
    <col min="5107" max="5108" width="0" style="55" hidden="1" customWidth="1"/>
    <col min="5109" max="5109" width="9.7109375" style="55" customWidth="1"/>
    <col min="5110" max="5111" width="0" style="55" hidden="1" customWidth="1"/>
    <col min="5112" max="5112" width="10" style="55" customWidth="1"/>
    <col min="5113" max="5114" width="0" style="55" hidden="1" customWidth="1"/>
    <col min="5115" max="5115" width="12.7109375" style="55" customWidth="1"/>
    <col min="5116" max="5117" width="0" style="55" hidden="1" customWidth="1"/>
    <col min="5118" max="5118" width="12.5703125" style="55" customWidth="1"/>
    <col min="5119" max="5120" width="0" style="55" hidden="1" customWidth="1"/>
    <col min="5121" max="5121" width="10.42578125" style="55" customWidth="1"/>
    <col min="5122" max="5123" width="0" style="55" hidden="1" customWidth="1"/>
    <col min="5124" max="5124" width="9.5703125" style="55" customWidth="1"/>
    <col min="5125" max="5126" width="0" style="55" hidden="1" customWidth="1"/>
    <col min="5127" max="5127" width="10.28515625" style="55" customWidth="1"/>
    <col min="5128" max="5129" width="0" style="55" hidden="1" customWidth="1"/>
    <col min="5130" max="5130" width="11" style="55" customWidth="1"/>
    <col min="5131" max="5132" width="0" style="55" hidden="1" customWidth="1"/>
    <col min="5133" max="5133" width="12.28515625" style="55" customWidth="1"/>
    <col min="5134" max="5135" width="0" style="55" hidden="1" customWidth="1"/>
    <col min="5136" max="5136" width="11.85546875" style="55" customWidth="1"/>
    <col min="5137" max="5138" width="0" style="55" hidden="1" customWidth="1"/>
    <col min="5139" max="5139" width="11" style="55" customWidth="1"/>
    <col min="5140" max="5141" width="0" style="55" hidden="1" customWidth="1"/>
    <col min="5142" max="5142" width="12.140625" style="55" customWidth="1"/>
    <col min="5143" max="5144" width="0" style="55" hidden="1" customWidth="1"/>
    <col min="5145" max="5145" width="11.28515625" style="55" customWidth="1"/>
    <col min="5146" max="5147" width="0" style="55" hidden="1" customWidth="1"/>
    <col min="5148" max="5148" width="11.28515625" style="55" customWidth="1"/>
    <col min="5149" max="5150" width="0" style="55" hidden="1" customWidth="1"/>
    <col min="5151" max="5151" width="10.5703125" style="55" customWidth="1"/>
    <col min="5152" max="5152" width="0" style="55" hidden="1" customWidth="1"/>
    <col min="5153" max="5314" width="9.140625" style="55"/>
    <col min="5315" max="5315" width="10.85546875" style="55" customWidth="1"/>
    <col min="5316" max="5316" width="35.7109375" style="55" customWidth="1"/>
    <col min="5317" max="5318" width="0" style="55" hidden="1" customWidth="1"/>
    <col min="5319" max="5319" width="21.28515625" style="55" customWidth="1"/>
    <col min="5320" max="5320" width="13.42578125" style="55" customWidth="1"/>
    <col min="5321" max="5322" width="0" style="55" hidden="1" customWidth="1"/>
    <col min="5323" max="5323" width="10.42578125" style="55" customWidth="1"/>
    <col min="5324" max="5325" width="0" style="55" hidden="1" customWidth="1"/>
    <col min="5326" max="5326" width="12.42578125" style="55" customWidth="1"/>
    <col min="5327" max="5328" width="0" style="55" hidden="1" customWidth="1"/>
    <col min="5329" max="5329" width="10.42578125" style="55" customWidth="1"/>
    <col min="5330" max="5331" width="0" style="55" hidden="1" customWidth="1"/>
    <col min="5332" max="5332" width="11.140625" style="55" customWidth="1"/>
    <col min="5333" max="5334" width="0" style="55" hidden="1" customWidth="1"/>
    <col min="5335" max="5335" width="10.42578125" style="55" customWidth="1"/>
    <col min="5336" max="5337" width="0" style="55" hidden="1" customWidth="1"/>
    <col min="5338" max="5338" width="9.5703125" style="55" customWidth="1"/>
    <col min="5339" max="5340" width="0" style="55" hidden="1" customWidth="1"/>
    <col min="5341" max="5341" width="10.28515625" style="55" customWidth="1"/>
    <col min="5342" max="5343" width="0" style="55" hidden="1" customWidth="1"/>
    <col min="5344" max="5344" width="10.85546875" style="55" customWidth="1"/>
    <col min="5345" max="5346" width="0" style="55" hidden="1" customWidth="1"/>
    <col min="5347" max="5347" width="12.28515625" style="55" customWidth="1"/>
    <col min="5348" max="5349" width="0" style="55" hidden="1" customWidth="1"/>
    <col min="5350" max="5350" width="11.85546875" style="55" customWidth="1"/>
    <col min="5351" max="5352" width="0" style="55" hidden="1" customWidth="1"/>
    <col min="5353" max="5353" width="10.5703125" style="55" customWidth="1"/>
    <col min="5354" max="5355" width="0" style="55" hidden="1" customWidth="1"/>
    <col min="5356" max="5356" width="10.140625" style="55" customWidth="1"/>
    <col min="5357" max="5358" width="0" style="55" hidden="1" customWidth="1"/>
    <col min="5359" max="5359" width="10.140625" style="55" customWidth="1"/>
    <col min="5360" max="5361" width="0" style="55" hidden="1" customWidth="1"/>
    <col min="5362" max="5362" width="10.42578125" style="55" customWidth="1"/>
    <col min="5363" max="5364" width="0" style="55" hidden="1" customWidth="1"/>
    <col min="5365" max="5365" width="9.7109375" style="55" customWidth="1"/>
    <col min="5366" max="5367" width="0" style="55" hidden="1" customWidth="1"/>
    <col min="5368" max="5368" width="10" style="55" customWidth="1"/>
    <col min="5369" max="5370" width="0" style="55" hidden="1" customWidth="1"/>
    <col min="5371" max="5371" width="12.7109375" style="55" customWidth="1"/>
    <col min="5372" max="5373" width="0" style="55" hidden="1" customWidth="1"/>
    <col min="5374" max="5374" width="12.5703125" style="55" customWidth="1"/>
    <col min="5375" max="5376" width="0" style="55" hidden="1" customWidth="1"/>
    <col min="5377" max="5377" width="10.42578125" style="55" customWidth="1"/>
    <col min="5378" max="5379" width="0" style="55" hidden="1" customWidth="1"/>
    <col min="5380" max="5380" width="9.5703125" style="55" customWidth="1"/>
    <col min="5381" max="5382" width="0" style="55" hidden="1" customWidth="1"/>
    <col min="5383" max="5383" width="10.28515625" style="55" customWidth="1"/>
    <col min="5384" max="5385" width="0" style="55" hidden="1" customWidth="1"/>
    <col min="5386" max="5386" width="11" style="55" customWidth="1"/>
    <col min="5387" max="5388" width="0" style="55" hidden="1" customWidth="1"/>
    <col min="5389" max="5389" width="12.28515625" style="55" customWidth="1"/>
    <col min="5390" max="5391" width="0" style="55" hidden="1" customWidth="1"/>
    <col min="5392" max="5392" width="11.85546875" style="55" customWidth="1"/>
    <col min="5393" max="5394" width="0" style="55" hidden="1" customWidth="1"/>
    <col min="5395" max="5395" width="11" style="55" customWidth="1"/>
    <col min="5396" max="5397" width="0" style="55" hidden="1" customWidth="1"/>
    <col min="5398" max="5398" width="12.140625" style="55" customWidth="1"/>
    <col min="5399" max="5400" width="0" style="55" hidden="1" customWidth="1"/>
    <col min="5401" max="5401" width="11.28515625" style="55" customWidth="1"/>
    <col min="5402" max="5403" width="0" style="55" hidden="1" customWidth="1"/>
    <col min="5404" max="5404" width="11.28515625" style="55" customWidth="1"/>
    <col min="5405" max="5406" width="0" style="55" hidden="1" customWidth="1"/>
    <col min="5407" max="5407" width="10.5703125" style="55" customWidth="1"/>
    <col min="5408" max="5408" width="0" style="55" hidden="1" customWidth="1"/>
    <col min="5409" max="5570" width="9.140625" style="55"/>
    <col min="5571" max="5571" width="10.85546875" style="55" customWidth="1"/>
    <col min="5572" max="5572" width="35.7109375" style="55" customWidth="1"/>
    <col min="5573" max="5574" width="0" style="55" hidden="1" customWidth="1"/>
    <col min="5575" max="5575" width="21.28515625" style="55" customWidth="1"/>
    <col min="5576" max="5576" width="13.42578125" style="55" customWidth="1"/>
    <col min="5577" max="5578" width="0" style="55" hidden="1" customWidth="1"/>
    <col min="5579" max="5579" width="10.42578125" style="55" customWidth="1"/>
    <col min="5580" max="5581" width="0" style="55" hidden="1" customWidth="1"/>
    <col min="5582" max="5582" width="12.42578125" style="55" customWidth="1"/>
    <col min="5583" max="5584" width="0" style="55" hidden="1" customWidth="1"/>
    <col min="5585" max="5585" width="10.42578125" style="55" customWidth="1"/>
    <col min="5586" max="5587" width="0" style="55" hidden="1" customWidth="1"/>
    <col min="5588" max="5588" width="11.140625" style="55" customWidth="1"/>
    <col min="5589" max="5590" width="0" style="55" hidden="1" customWidth="1"/>
    <col min="5591" max="5591" width="10.42578125" style="55" customWidth="1"/>
    <col min="5592" max="5593" width="0" style="55" hidden="1" customWidth="1"/>
    <col min="5594" max="5594" width="9.5703125" style="55" customWidth="1"/>
    <col min="5595" max="5596" width="0" style="55" hidden="1" customWidth="1"/>
    <col min="5597" max="5597" width="10.28515625" style="55" customWidth="1"/>
    <col min="5598" max="5599" width="0" style="55" hidden="1" customWidth="1"/>
    <col min="5600" max="5600" width="10.85546875" style="55" customWidth="1"/>
    <col min="5601" max="5602" width="0" style="55" hidden="1" customWidth="1"/>
    <col min="5603" max="5603" width="12.28515625" style="55" customWidth="1"/>
    <col min="5604" max="5605" width="0" style="55" hidden="1" customWidth="1"/>
    <col min="5606" max="5606" width="11.85546875" style="55" customWidth="1"/>
    <col min="5607" max="5608" width="0" style="55" hidden="1" customWidth="1"/>
    <col min="5609" max="5609" width="10.5703125" style="55" customWidth="1"/>
    <col min="5610" max="5611" width="0" style="55" hidden="1" customWidth="1"/>
    <col min="5612" max="5612" width="10.140625" style="55" customWidth="1"/>
    <col min="5613" max="5614" width="0" style="55" hidden="1" customWidth="1"/>
    <col min="5615" max="5615" width="10.140625" style="55" customWidth="1"/>
    <col min="5616" max="5617" width="0" style="55" hidden="1" customWidth="1"/>
    <col min="5618" max="5618" width="10.42578125" style="55" customWidth="1"/>
    <col min="5619" max="5620" width="0" style="55" hidden="1" customWidth="1"/>
    <col min="5621" max="5621" width="9.7109375" style="55" customWidth="1"/>
    <col min="5622" max="5623" width="0" style="55" hidden="1" customWidth="1"/>
    <col min="5624" max="5624" width="10" style="55" customWidth="1"/>
    <col min="5625" max="5626" width="0" style="55" hidden="1" customWidth="1"/>
    <col min="5627" max="5627" width="12.7109375" style="55" customWidth="1"/>
    <col min="5628" max="5629" width="0" style="55" hidden="1" customWidth="1"/>
    <col min="5630" max="5630" width="12.5703125" style="55" customWidth="1"/>
    <col min="5631" max="5632" width="0" style="55" hidden="1" customWidth="1"/>
    <col min="5633" max="5633" width="10.42578125" style="55" customWidth="1"/>
    <col min="5634" max="5635" width="0" style="55" hidden="1" customWidth="1"/>
    <col min="5636" max="5636" width="9.5703125" style="55" customWidth="1"/>
    <col min="5637" max="5638" width="0" style="55" hidden="1" customWidth="1"/>
    <col min="5639" max="5639" width="10.28515625" style="55" customWidth="1"/>
    <col min="5640" max="5641" width="0" style="55" hidden="1" customWidth="1"/>
    <col min="5642" max="5642" width="11" style="55" customWidth="1"/>
    <col min="5643" max="5644" width="0" style="55" hidden="1" customWidth="1"/>
    <col min="5645" max="5645" width="12.28515625" style="55" customWidth="1"/>
    <col min="5646" max="5647" width="0" style="55" hidden="1" customWidth="1"/>
    <col min="5648" max="5648" width="11.85546875" style="55" customWidth="1"/>
    <col min="5649" max="5650" width="0" style="55" hidden="1" customWidth="1"/>
    <col min="5651" max="5651" width="11" style="55" customWidth="1"/>
    <col min="5652" max="5653" width="0" style="55" hidden="1" customWidth="1"/>
    <col min="5654" max="5654" width="12.140625" style="55" customWidth="1"/>
    <col min="5655" max="5656" width="0" style="55" hidden="1" customWidth="1"/>
    <col min="5657" max="5657" width="11.28515625" style="55" customWidth="1"/>
    <col min="5658" max="5659" width="0" style="55" hidden="1" customWidth="1"/>
    <col min="5660" max="5660" width="11.28515625" style="55" customWidth="1"/>
    <col min="5661" max="5662" width="0" style="55" hidden="1" customWidth="1"/>
    <col min="5663" max="5663" width="10.5703125" style="55" customWidth="1"/>
    <col min="5664" max="5664" width="0" style="55" hidden="1" customWidth="1"/>
    <col min="5665" max="5826" width="9.140625" style="55"/>
    <col min="5827" max="5827" width="10.85546875" style="55" customWidth="1"/>
    <col min="5828" max="5828" width="35.7109375" style="55" customWidth="1"/>
    <col min="5829" max="5830" width="0" style="55" hidden="1" customWidth="1"/>
    <col min="5831" max="5831" width="21.28515625" style="55" customWidth="1"/>
    <col min="5832" max="5832" width="13.42578125" style="55" customWidth="1"/>
    <col min="5833" max="5834" width="0" style="55" hidden="1" customWidth="1"/>
    <col min="5835" max="5835" width="10.42578125" style="55" customWidth="1"/>
    <col min="5836" max="5837" width="0" style="55" hidden="1" customWidth="1"/>
    <col min="5838" max="5838" width="12.42578125" style="55" customWidth="1"/>
    <col min="5839" max="5840" width="0" style="55" hidden="1" customWidth="1"/>
    <col min="5841" max="5841" width="10.42578125" style="55" customWidth="1"/>
    <col min="5842" max="5843" width="0" style="55" hidden="1" customWidth="1"/>
    <col min="5844" max="5844" width="11.140625" style="55" customWidth="1"/>
    <col min="5845" max="5846" width="0" style="55" hidden="1" customWidth="1"/>
    <col min="5847" max="5847" width="10.42578125" style="55" customWidth="1"/>
    <col min="5848" max="5849" width="0" style="55" hidden="1" customWidth="1"/>
    <col min="5850" max="5850" width="9.5703125" style="55" customWidth="1"/>
    <col min="5851" max="5852" width="0" style="55" hidden="1" customWidth="1"/>
    <col min="5853" max="5853" width="10.28515625" style="55" customWidth="1"/>
    <col min="5854" max="5855" width="0" style="55" hidden="1" customWidth="1"/>
    <col min="5856" max="5856" width="10.85546875" style="55" customWidth="1"/>
    <col min="5857" max="5858" width="0" style="55" hidden="1" customWidth="1"/>
    <col min="5859" max="5859" width="12.28515625" style="55" customWidth="1"/>
    <col min="5860" max="5861" width="0" style="55" hidden="1" customWidth="1"/>
    <col min="5862" max="5862" width="11.85546875" style="55" customWidth="1"/>
    <col min="5863" max="5864" width="0" style="55" hidden="1" customWidth="1"/>
    <col min="5865" max="5865" width="10.5703125" style="55" customWidth="1"/>
    <col min="5866" max="5867" width="0" style="55" hidden="1" customWidth="1"/>
    <col min="5868" max="5868" width="10.140625" style="55" customWidth="1"/>
    <col min="5869" max="5870" width="0" style="55" hidden="1" customWidth="1"/>
    <col min="5871" max="5871" width="10.140625" style="55" customWidth="1"/>
    <col min="5872" max="5873" width="0" style="55" hidden="1" customWidth="1"/>
    <col min="5874" max="5874" width="10.42578125" style="55" customWidth="1"/>
    <col min="5875" max="5876" width="0" style="55" hidden="1" customWidth="1"/>
    <col min="5877" max="5877" width="9.7109375" style="55" customWidth="1"/>
    <col min="5878" max="5879" width="0" style="55" hidden="1" customWidth="1"/>
    <col min="5880" max="5880" width="10" style="55" customWidth="1"/>
    <col min="5881" max="5882" width="0" style="55" hidden="1" customWidth="1"/>
    <col min="5883" max="5883" width="12.7109375" style="55" customWidth="1"/>
    <col min="5884" max="5885" width="0" style="55" hidden="1" customWidth="1"/>
    <col min="5886" max="5886" width="12.5703125" style="55" customWidth="1"/>
    <col min="5887" max="5888" width="0" style="55" hidden="1" customWidth="1"/>
    <col min="5889" max="5889" width="10.42578125" style="55" customWidth="1"/>
    <col min="5890" max="5891" width="0" style="55" hidden="1" customWidth="1"/>
    <col min="5892" max="5892" width="9.5703125" style="55" customWidth="1"/>
    <col min="5893" max="5894" width="0" style="55" hidden="1" customWidth="1"/>
    <col min="5895" max="5895" width="10.28515625" style="55" customWidth="1"/>
    <col min="5896" max="5897" width="0" style="55" hidden="1" customWidth="1"/>
    <col min="5898" max="5898" width="11" style="55" customWidth="1"/>
    <col min="5899" max="5900" width="0" style="55" hidden="1" customWidth="1"/>
    <col min="5901" max="5901" width="12.28515625" style="55" customWidth="1"/>
    <col min="5902" max="5903" width="0" style="55" hidden="1" customWidth="1"/>
    <col min="5904" max="5904" width="11.85546875" style="55" customWidth="1"/>
    <col min="5905" max="5906" width="0" style="55" hidden="1" customWidth="1"/>
    <col min="5907" max="5907" width="11" style="55" customWidth="1"/>
    <col min="5908" max="5909" width="0" style="55" hidden="1" customWidth="1"/>
    <col min="5910" max="5910" width="12.140625" style="55" customWidth="1"/>
    <col min="5911" max="5912" width="0" style="55" hidden="1" customWidth="1"/>
    <col min="5913" max="5913" width="11.28515625" style="55" customWidth="1"/>
    <col min="5914" max="5915" width="0" style="55" hidden="1" customWidth="1"/>
    <col min="5916" max="5916" width="11.28515625" style="55" customWidth="1"/>
    <col min="5917" max="5918" width="0" style="55" hidden="1" customWidth="1"/>
    <col min="5919" max="5919" width="10.5703125" style="55" customWidth="1"/>
    <col min="5920" max="5920" width="0" style="55" hidden="1" customWidth="1"/>
    <col min="5921" max="6082" width="9.140625" style="55"/>
    <col min="6083" max="6083" width="10.85546875" style="55" customWidth="1"/>
    <col min="6084" max="6084" width="35.7109375" style="55" customWidth="1"/>
    <col min="6085" max="6086" width="0" style="55" hidden="1" customWidth="1"/>
    <col min="6087" max="6087" width="21.28515625" style="55" customWidth="1"/>
    <col min="6088" max="6088" width="13.42578125" style="55" customWidth="1"/>
    <col min="6089" max="6090" width="0" style="55" hidden="1" customWidth="1"/>
    <col min="6091" max="6091" width="10.42578125" style="55" customWidth="1"/>
    <col min="6092" max="6093" width="0" style="55" hidden="1" customWidth="1"/>
    <col min="6094" max="6094" width="12.42578125" style="55" customWidth="1"/>
    <col min="6095" max="6096" width="0" style="55" hidden="1" customWidth="1"/>
    <col min="6097" max="6097" width="10.42578125" style="55" customWidth="1"/>
    <col min="6098" max="6099" width="0" style="55" hidden="1" customWidth="1"/>
    <col min="6100" max="6100" width="11.140625" style="55" customWidth="1"/>
    <col min="6101" max="6102" width="0" style="55" hidden="1" customWidth="1"/>
    <col min="6103" max="6103" width="10.42578125" style="55" customWidth="1"/>
    <col min="6104" max="6105" width="0" style="55" hidden="1" customWidth="1"/>
    <col min="6106" max="6106" width="9.5703125" style="55" customWidth="1"/>
    <col min="6107" max="6108" width="0" style="55" hidden="1" customWidth="1"/>
    <col min="6109" max="6109" width="10.28515625" style="55" customWidth="1"/>
    <col min="6110" max="6111" width="0" style="55" hidden="1" customWidth="1"/>
    <col min="6112" max="6112" width="10.85546875" style="55" customWidth="1"/>
    <col min="6113" max="6114" width="0" style="55" hidden="1" customWidth="1"/>
    <col min="6115" max="6115" width="12.28515625" style="55" customWidth="1"/>
    <col min="6116" max="6117" width="0" style="55" hidden="1" customWidth="1"/>
    <col min="6118" max="6118" width="11.85546875" style="55" customWidth="1"/>
    <col min="6119" max="6120" width="0" style="55" hidden="1" customWidth="1"/>
    <col min="6121" max="6121" width="10.5703125" style="55" customWidth="1"/>
    <col min="6122" max="6123" width="0" style="55" hidden="1" customWidth="1"/>
    <col min="6124" max="6124" width="10.140625" style="55" customWidth="1"/>
    <col min="6125" max="6126" width="0" style="55" hidden="1" customWidth="1"/>
    <col min="6127" max="6127" width="10.140625" style="55" customWidth="1"/>
    <col min="6128" max="6129" width="0" style="55" hidden="1" customWidth="1"/>
    <col min="6130" max="6130" width="10.42578125" style="55" customWidth="1"/>
    <col min="6131" max="6132" width="0" style="55" hidden="1" customWidth="1"/>
    <col min="6133" max="6133" width="9.7109375" style="55" customWidth="1"/>
    <col min="6134" max="6135" width="0" style="55" hidden="1" customWidth="1"/>
    <col min="6136" max="6136" width="10" style="55" customWidth="1"/>
    <col min="6137" max="6138" width="0" style="55" hidden="1" customWidth="1"/>
    <col min="6139" max="6139" width="12.7109375" style="55" customWidth="1"/>
    <col min="6140" max="6141" width="0" style="55" hidden="1" customWidth="1"/>
    <col min="6142" max="6142" width="12.5703125" style="55" customWidth="1"/>
    <col min="6143" max="6144" width="0" style="55" hidden="1" customWidth="1"/>
    <col min="6145" max="6145" width="10.42578125" style="55" customWidth="1"/>
    <col min="6146" max="6147" width="0" style="55" hidden="1" customWidth="1"/>
    <col min="6148" max="6148" width="9.5703125" style="55" customWidth="1"/>
    <col min="6149" max="6150" width="0" style="55" hidden="1" customWidth="1"/>
    <col min="6151" max="6151" width="10.28515625" style="55" customWidth="1"/>
    <col min="6152" max="6153" width="0" style="55" hidden="1" customWidth="1"/>
    <col min="6154" max="6154" width="11" style="55" customWidth="1"/>
    <col min="6155" max="6156" width="0" style="55" hidden="1" customWidth="1"/>
    <col min="6157" max="6157" width="12.28515625" style="55" customWidth="1"/>
    <col min="6158" max="6159" width="0" style="55" hidden="1" customWidth="1"/>
    <col min="6160" max="6160" width="11.85546875" style="55" customWidth="1"/>
    <col min="6161" max="6162" width="0" style="55" hidden="1" customWidth="1"/>
    <col min="6163" max="6163" width="11" style="55" customWidth="1"/>
    <col min="6164" max="6165" width="0" style="55" hidden="1" customWidth="1"/>
    <col min="6166" max="6166" width="12.140625" style="55" customWidth="1"/>
    <col min="6167" max="6168" width="0" style="55" hidden="1" customWidth="1"/>
    <col min="6169" max="6169" width="11.28515625" style="55" customWidth="1"/>
    <col min="6170" max="6171" width="0" style="55" hidden="1" customWidth="1"/>
    <col min="6172" max="6172" width="11.28515625" style="55" customWidth="1"/>
    <col min="6173" max="6174" width="0" style="55" hidden="1" customWidth="1"/>
    <col min="6175" max="6175" width="10.5703125" style="55" customWidth="1"/>
    <col min="6176" max="6176" width="0" style="55" hidden="1" customWidth="1"/>
    <col min="6177" max="6338" width="9.140625" style="55"/>
    <col min="6339" max="6339" width="10.85546875" style="55" customWidth="1"/>
    <col min="6340" max="6340" width="35.7109375" style="55" customWidth="1"/>
    <col min="6341" max="6342" width="0" style="55" hidden="1" customWidth="1"/>
    <col min="6343" max="6343" width="21.28515625" style="55" customWidth="1"/>
    <col min="6344" max="6344" width="13.42578125" style="55" customWidth="1"/>
    <col min="6345" max="6346" width="0" style="55" hidden="1" customWidth="1"/>
    <col min="6347" max="6347" width="10.42578125" style="55" customWidth="1"/>
    <col min="6348" max="6349" width="0" style="55" hidden="1" customWidth="1"/>
    <col min="6350" max="6350" width="12.42578125" style="55" customWidth="1"/>
    <col min="6351" max="6352" width="0" style="55" hidden="1" customWidth="1"/>
    <col min="6353" max="6353" width="10.42578125" style="55" customWidth="1"/>
    <col min="6354" max="6355" width="0" style="55" hidden="1" customWidth="1"/>
    <col min="6356" max="6356" width="11.140625" style="55" customWidth="1"/>
    <col min="6357" max="6358" width="0" style="55" hidden="1" customWidth="1"/>
    <col min="6359" max="6359" width="10.42578125" style="55" customWidth="1"/>
    <col min="6360" max="6361" width="0" style="55" hidden="1" customWidth="1"/>
    <col min="6362" max="6362" width="9.5703125" style="55" customWidth="1"/>
    <col min="6363" max="6364" width="0" style="55" hidden="1" customWidth="1"/>
    <col min="6365" max="6365" width="10.28515625" style="55" customWidth="1"/>
    <col min="6366" max="6367" width="0" style="55" hidden="1" customWidth="1"/>
    <col min="6368" max="6368" width="10.85546875" style="55" customWidth="1"/>
    <col min="6369" max="6370" width="0" style="55" hidden="1" customWidth="1"/>
    <col min="6371" max="6371" width="12.28515625" style="55" customWidth="1"/>
    <col min="6372" max="6373" width="0" style="55" hidden="1" customWidth="1"/>
    <col min="6374" max="6374" width="11.85546875" style="55" customWidth="1"/>
    <col min="6375" max="6376" width="0" style="55" hidden="1" customWidth="1"/>
    <col min="6377" max="6377" width="10.5703125" style="55" customWidth="1"/>
    <col min="6378" max="6379" width="0" style="55" hidden="1" customWidth="1"/>
    <col min="6380" max="6380" width="10.140625" style="55" customWidth="1"/>
    <col min="6381" max="6382" width="0" style="55" hidden="1" customWidth="1"/>
    <col min="6383" max="6383" width="10.140625" style="55" customWidth="1"/>
    <col min="6384" max="6385" width="0" style="55" hidden="1" customWidth="1"/>
    <col min="6386" max="6386" width="10.42578125" style="55" customWidth="1"/>
    <col min="6387" max="6388" width="0" style="55" hidden="1" customWidth="1"/>
    <col min="6389" max="6389" width="9.7109375" style="55" customWidth="1"/>
    <col min="6390" max="6391" width="0" style="55" hidden="1" customWidth="1"/>
    <col min="6392" max="6392" width="10" style="55" customWidth="1"/>
    <col min="6393" max="6394" width="0" style="55" hidden="1" customWidth="1"/>
    <col min="6395" max="6395" width="12.7109375" style="55" customWidth="1"/>
    <col min="6396" max="6397" width="0" style="55" hidden="1" customWidth="1"/>
    <col min="6398" max="6398" width="12.5703125" style="55" customWidth="1"/>
    <col min="6399" max="6400" width="0" style="55" hidden="1" customWidth="1"/>
    <col min="6401" max="6401" width="10.42578125" style="55" customWidth="1"/>
    <col min="6402" max="6403" width="0" style="55" hidden="1" customWidth="1"/>
    <col min="6404" max="6404" width="9.5703125" style="55" customWidth="1"/>
    <col min="6405" max="6406" width="0" style="55" hidden="1" customWidth="1"/>
    <col min="6407" max="6407" width="10.28515625" style="55" customWidth="1"/>
    <col min="6408" max="6409" width="0" style="55" hidden="1" customWidth="1"/>
    <col min="6410" max="6410" width="11" style="55" customWidth="1"/>
    <col min="6411" max="6412" width="0" style="55" hidden="1" customWidth="1"/>
    <col min="6413" max="6413" width="12.28515625" style="55" customWidth="1"/>
    <col min="6414" max="6415" width="0" style="55" hidden="1" customWidth="1"/>
    <col min="6416" max="6416" width="11.85546875" style="55" customWidth="1"/>
    <col min="6417" max="6418" width="0" style="55" hidden="1" customWidth="1"/>
    <col min="6419" max="6419" width="11" style="55" customWidth="1"/>
    <col min="6420" max="6421" width="0" style="55" hidden="1" customWidth="1"/>
    <col min="6422" max="6422" width="12.140625" style="55" customWidth="1"/>
    <col min="6423" max="6424" width="0" style="55" hidden="1" customWidth="1"/>
    <col min="6425" max="6425" width="11.28515625" style="55" customWidth="1"/>
    <col min="6426" max="6427" width="0" style="55" hidden="1" customWidth="1"/>
    <col min="6428" max="6428" width="11.28515625" style="55" customWidth="1"/>
    <col min="6429" max="6430" width="0" style="55" hidden="1" customWidth="1"/>
    <col min="6431" max="6431" width="10.5703125" style="55" customWidth="1"/>
    <col min="6432" max="6432" width="0" style="55" hidden="1" customWidth="1"/>
    <col min="6433" max="6594" width="9.140625" style="55"/>
    <col min="6595" max="6595" width="10.85546875" style="55" customWidth="1"/>
    <col min="6596" max="6596" width="35.7109375" style="55" customWidth="1"/>
    <col min="6597" max="6598" width="0" style="55" hidden="1" customWidth="1"/>
    <col min="6599" max="6599" width="21.28515625" style="55" customWidth="1"/>
    <col min="6600" max="6600" width="13.42578125" style="55" customWidth="1"/>
    <col min="6601" max="6602" width="0" style="55" hidden="1" customWidth="1"/>
    <col min="6603" max="6603" width="10.42578125" style="55" customWidth="1"/>
    <col min="6604" max="6605" width="0" style="55" hidden="1" customWidth="1"/>
    <col min="6606" max="6606" width="12.42578125" style="55" customWidth="1"/>
    <col min="6607" max="6608" width="0" style="55" hidden="1" customWidth="1"/>
    <col min="6609" max="6609" width="10.42578125" style="55" customWidth="1"/>
    <col min="6610" max="6611" width="0" style="55" hidden="1" customWidth="1"/>
    <col min="6612" max="6612" width="11.140625" style="55" customWidth="1"/>
    <col min="6613" max="6614" width="0" style="55" hidden="1" customWidth="1"/>
    <col min="6615" max="6615" width="10.42578125" style="55" customWidth="1"/>
    <col min="6616" max="6617" width="0" style="55" hidden="1" customWidth="1"/>
    <col min="6618" max="6618" width="9.5703125" style="55" customWidth="1"/>
    <col min="6619" max="6620" width="0" style="55" hidden="1" customWidth="1"/>
    <col min="6621" max="6621" width="10.28515625" style="55" customWidth="1"/>
    <col min="6622" max="6623" width="0" style="55" hidden="1" customWidth="1"/>
    <col min="6624" max="6624" width="10.85546875" style="55" customWidth="1"/>
    <col min="6625" max="6626" width="0" style="55" hidden="1" customWidth="1"/>
    <col min="6627" max="6627" width="12.28515625" style="55" customWidth="1"/>
    <col min="6628" max="6629" width="0" style="55" hidden="1" customWidth="1"/>
    <col min="6630" max="6630" width="11.85546875" style="55" customWidth="1"/>
    <col min="6631" max="6632" width="0" style="55" hidden="1" customWidth="1"/>
    <col min="6633" max="6633" width="10.5703125" style="55" customWidth="1"/>
    <col min="6634" max="6635" width="0" style="55" hidden="1" customWidth="1"/>
    <col min="6636" max="6636" width="10.140625" style="55" customWidth="1"/>
    <col min="6637" max="6638" width="0" style="55" hidden="1" customWidth="1"/>
    <col min="6639" max="6639" width="10.140625" style="55" customWidth="1"/>
    <col min="6640" max="6641" width="0" style="55" hidden="1" customWidth="1"/>
    <col min="6642" max="6642" width="10.42578125" style="55" customWidth="1"/>
    <col min="6643" max="6644" width="0" style="55" hidden="1" customWidth="1"/>
    <col min="6645" max="6645" width="9.7109375" style="55" customWidth="1"/>
    <col min="6646" max="6647" width="0" style="55" hidden="1" customWidth="1"/>
    <col min="6648" max="6648" width="10" style="55" customWidth="1"/>
    <col min="6649" max="6650" width="0" style="55" hidden="1" customWidth="1"/>
    <col min="6651" max="6651" width="12.7109375" style="55" customWidth="1"/>
    <col min="6652" max="6653" width="0" style="55" hidden="1" customWidth="1"/>
    <col min="6654" max="6654" width="12.5703125" style="55" customWidth="1"/>
    <col min="6655" max="6656" width="0" style="55" hidden="1" customWidth="1"/>
    <col min="6657" max="6657" width="10.42578125" style="55" customWidth="1"/>
    <col min="6658" max="6659" width="0" style="55" hidden="1" customWidth="1"/>
    <col min="6660" max="6660" width="9.5703125" style="55" customWidth="1"/>
    <col min="6661" max="6662" width="0" style="55" hidden="1" customWidth="1"/>
    <col min="6663" max="6663" width="10.28515625" style="55" customWidth="1"/>
    <col min="6664" max="6665" width="0" style="55" hidden="1" customWidth="1"/>
    <col min="6666" max="6666" width="11" style="55" customWidth="1"/>
    <col min="6667" max="6668" width="0" style="55" hidden="1" customWidth="1"/>
    <col min="6669" max="6669" width="12.28515625" style="55" customWidth="1"/>
    <col min="6670" max="6671" width="0" style="55" hidden="1" customWidth="1"/>
    <col min="6672" max="6672" width="11.85546875" style="55" customWidth="1"/>
    <col min="6673" max="6674" width="0" style="55" hidden="1" customWidth="1"/>
    <col min="6675" max="6675" width="11" style="55" customWidth="1"/>
    <col min="6676" max="6677" width="0" style="55" hidden="1" customWidth="1"/>
    <col min="6678" max="6678" width="12.140625" style="55" customWidth="1"/>
    <col min="6679" max="6680" width="0" style="55" hidden="1" customWidth="1"/>
    <col min="6681" max="6681" width="11.28515625" style="55" customWidth="1"/>
    <col min="6682" max="6683" width="0" style="55" hidden="1" customWidth="1"/>
    <col min="6684" max="6684" width="11.28515625" style="55" customWidth="1"/>
    <col min="6685" max="6686" width="0" style="55" hidden="1" customWidth="1"/>
    <col min="6687" max="6687" width="10.5703125" style="55" customWidth="1"/>
    <col min="6688" max="6688" width="0" style="55" hidden="1" customWidth="1"/>
    <col min="6689" max="6850" width="9.140625" style="55"/>
    <col min="6851" max="6851" width="10.85546875" style="55" customWidth="1"/>
    <col min="6852" max="6852" width="35.7109375" style="55" customWidth="1"/>
    <col min="6853" max="6854" width="0" style="55" hidden="1" customWidth="1"/>
    <col min="6855" max="6855" width="21.28515625" style="55" customWidth="1"/>
    <col min="6856" max="6856" width="13.42578125" style="55" customWidth="1"/>
    <col min="6857" max="6858" width="0" style="55" hidden="1" customWidth="1"/>
    <col min="6859" max="6859" width="10.42578125" style="55" customWidth="1"/>
    <col min="6860" max="6861" width="0" style="55" hidden="1" customWidth="1"/>
    <col min="6862" max="6862" width="12.42578125" style="55" customWidth="1"/>
    <col min="6863" max="6864" width="0" style="55" hidden="1" customWidth="1"/>
    <col min="6865" max="6865" width="10.42578125" style="55" customWidth="1"/>
    <col min="6866" max="6867" width="0" style="55" hidden="1" customWidth="1"/>
    <col min="6868" max="6868" width="11.140625" style="55" customWidth="1"/>
    <col min="6869" max="6870" width="0" style="55" hidden="1" customWidth="1"/>
    <col min="6871" max="6871" width="10.42578125" style="55" customWidth="1"/>
    <col min="6872" max="6873" width="0" style="55" hidden="1" customWidth="1"/>
    <col min="6874" max="6874" width="9.5703125" style="55" customWidth="1"/>
    <col min="6875" max="6876" width="0" style="55" hidden="1" customWidth="1"/>
    <col min="6877" max="6877" width="10.28515625" style="55" customWidth="1"/>
    <col min="6878" max="6879" width="0" style="55" hidden="1" customWidth="1"/>
    <col min="6880" max="6880" width="10.85546875" style="55" customWidth="1"/>
    <col min="6881" max="6882" width="0" style="55" hidden="1" customWidth="1"/>
    <col min="6883" max="6883" width="12.28515625" style="55" customWidth="1"/>
    <col min="6884" max="6885" width="0" style="55" hidden="1" customWidth="1"/>
    <col min="6886" max="6886" width="11.85546875" style="55" customWidth="1"/>
    <col min="6887" max="6888" width="0" style="55" hidden="1" customWidth="1"/>
    <col min="6889" max="6889" width="10.5703125" style="55" customWidth="1"/>
    <col min="6890" max="6891" width="0" style="55" hidden="1" customWidth="1"/>
    <col min="6892" max="6892" width="10.140625" style="55" customWidth="1"/>
    <col min="6893" max="6894" width="0" style="55" hidden="1" customWidth="1"/>
    <col min="6895" max="6895" width="10.140625" style="55" customWidth="1"/>
    <col min="6896" max="6897" width="0" style="55" hidden="1" customWidth="1"/>
    <col min="6898" max="6898" width="10.42578125" style="55" customWidth="1"/>
    <col min="6899" max="6900" width="0" style="55" hidden="1" customWidth="1"/>
    <col min="6901" max="6901" width="9.7109375" style="55" customWidth="1"/>
    <col min="6902" max="6903" width="0" style="55" hidden="1" customWidth="1"/>
    <col min="6904" max="6904" width="10" style="55" customWidth="1"/>
    <col min="6905" max="6906" width="0" style="55" hidden="1" customWidth="1"/>
    <col min="6907" max="6907" width="12.7109375" style="55" customWidth="1"/>
    <col min="6908" max="6909" width="0" style="55" hidden="1" customWidth="1"/>
    <col min="6910" max="6910" width="12.5703125" style="55" customWidth="1"/>
    <col min="6911" max="6912" width="0" style="55" hidden="1" customWidth="1"/>
    <col min="6913" max="6913" width="10.42578125" style="55" customWidth="1"/>
    <col min="6914" max="6915" width="0" style="55" hidden="1" customWidth="1"/>
    <col min="6916" max="6916" width="9.5703125" style="55" customWidth="1"/>
    <col min="6917" max="6918" width="0" style="55" hidden="1" customWidth="1"/>
    <col min="6919" max="6919" width="10.28515625" style="55" customWidth="1"/>
    <col min="6920" max="6921" width="0" style="55" hidden="1" customWidth="1"/>
    <col min="6922" max="6922" width="11" style="55" customWidth="1"/>
    <col min="6923" max="6924" width="0" style="55" hidden="1" customWidth="1"/>
    <col min="6925" max="6925" width="12.28515625" style="55" customWidth="1"/>
    <col min="6926" max="6927" width="0" style="55" hidden="1" customWidth="1"/>
    <col min="6928" max="6928" width="11.85546875" style="55" customWidth="1"/>
    <col min="6929" max="6930" width="0" style="55" hidden="1" customWidth="1"/>
    <col min="6931" max="6931" width="11" style="55" customWidth="1"/>
    <col min="6932" max="6933" width="0" style="55" hidden="1" customWidth="1"/>
    <col min="6934" max="6934" width="12.140625" style="55" customWidth="1"/>
    <col min="6935" max="6936" width="0" style="55" hidden="1" customWidth="1"/>
    <col min="6937" max="6937" width="11.28515625" style="55" customWidth="1"/>
    <col min="6938" max="6939" width="0" style="55" hidden="1" customWidth="1"/>
    <col min="6940" max="6940" width="11.28515625" style="55" customWidth="1"/>
    <col min="6941" max="6942" width="0" style="55" hidden="1" customWidth="1"/>
    <col min="6943" max="6943" width="10.5703125" style="55" customWidth="1"/>
    <col min="6944" max="6944" width="0" style="55" hidden="1" customWidth="1"/>
    <col min="6945" max="7106" width="9.140625" style="55"/>
    <col min="7107" max="7107" width="10.85546875" style="55" customWidth="1"/>
    <col min="7108" max="7108" width="35.7109375" style="55" customWidth="1"/>
    <col min="7109" max="7110" width="0" style="55" hidden="1" customWidth="1"/>
    <col min="7111" max="7111" width="21.28515625" style="55" customWidth="1"/>
    <col min="7112" max="7112" width="13.42578125" style="55" customWidth="1"/>
    <col min="7113" max="7114" width="0" style="55" hidden="1" customWidth="1"/>
    <col min="7115" max="7115" width="10.42578125" style="55" customWidth="1"/>
    <col min="7116" max="7117" width="0" style="55" hidden="1" customWidth="1"/>
    <col min="7118" max="7118" width="12.42578125" style="55" customWidth="1"/>
    <col min="7119" max="7120" width="0" style="55" hidden="1" customWidth="1"/>
    <col min="7121" max="7121" width="10.42578125" style="55" customWidth="1"/>
    <col min="7122" max="7123" width="0" style="55" hidden="1" customWidth="1"/>
    <col min="7124" max="7124" width="11.140625" style="55" customWidth="1"/>
    <col min="7125" max="7126" width="0" style="55" hidden="1" customWidth="1"/>
    <col min="7127" max="7127" width="10.42578125" style="55" customWidth="1"/>
    <col min="7128" max="7129" width="0" style="55" hidden="1" customWidth="1"/>
    <col min="7130" max="7130" width="9.5703125" style="55" customWidth="1"/>
    <col min="7131" max="7132" width="0" style="55" hidden="1" customWidth="1"/>
    <col min="7133" max="7133" width="10.28515625" style="55" customWidth="1"/>
    <col min="7134" max="7135" width="0" style="55" hidden="1" customWidth="1"/>
    <col min="7136" max="7136" width="10.85546875" style="55" customWidth="1"/>
    <col min="7137" max="7138" width="0" style="55" hidden="1" customWidth="1"/>
    <col min="7139" max="7139" width="12.28515625" style="55" customWidth="1"/>
    <col min="7140" max="7141" width="0" style="55" hidden="1" customWidth="1"/>
    <col min="7142" max="7142" width="11.85546875" style="55" customWidth="1"/>
    <col min="7143" max="7144" width="0" style="55" hidden="1" customWidth="1"/>
    <col min="7145" max="7145" width="10.5703125" style="55" customWidth="1"/>
    <col min="7146" max="7147" width="0" style="55" hidden="1" customWidth="1"/>
    <col min="7148" max="7148" width="10.140625" style="55" customWidth="1"/>
    <col min="7149" max="7150" width="0" style="55" hidden="1" customWidth="1"/>
    <col min="7151" max="7151" width="10.140625" style="55" customWidth="1"/>
    <col min="7152" max="7153" width="0" style="55" hidden="1" customWidth="1"/>
    <col min="7154" max="7154" width="10.42578125" style="55" customWidth="1"/>
    <col min="7155" max="7156" width="0" style="55" hidden="1" customWidth="1"/>
    <col min="7157" max="7157" width="9.7109375" style="55" customWidth="1"/>
    <col min="7158" max="7159" width="0" style="55" hidden="1" customWidth="1"/>
    <col min="7160" max="7160" width="10" style="55" customWidth="1"/>
    <col min="7161" max="7162" width="0" style="55" hidden="1" customWidth="1"/>
    <col min="7163" max="7163" width="12.7109375" style="55" customWidth="1"/>
    <col min="7164" max="7165" width="0" style="55" hidden="1" customWidth="1"/>
    <col min="7166" max="7166" width="12.5703125" style="55" customWidth="1"/>
    <col min="7167" max="7168" width="0" style="55" hidden="1" customWidth="1"/>
    <col min="7169" max="7169" width="10.42578125" style="55" customWidth="1"/>
    <col min="7170" max="7171" width="0" style="55" hidden="1" customWidth="1"/>
    <col min="7172" max="7172" width="9.5703125" style="55" customWidth="1"/>
    <col min="7173" max="7174" width="0" style="55" hidden="1" customWidth="1"/>
    <col min="7175" max="7175" width="10.28515625" style="55" customWidth="1"/>
    <col min="7176" max="7177" width="0" style="55" hidden="1" customWidth="1"/>
    <col min="7178" max="7178" width="11" style="55" customWidth="1"/>
    <col min="7179" max="7180" width="0" style="55" hidden="1" customWidth="1"/>
    <col min="7181" max="7181" width="12.28515625" style="55" customWidth="1"/>
    <col min="7182" max="7183" width="0" style="55" hidden="1" customWidth="1"/>
    <col min="7184" max="7184" width="11.85546875" style="55" customWidth="1"/>
    <col min="7185" max="7186" width="0" style="55" hidden="1" customWidth="1"/>
    <col min="7187" max="7187" width="11" style="55" customWidth="1"/>
    <col min="7188" max="7189" width="0" style="55" hidden="1" customWidth="1"/>
    <col min="7190" max="7190" width="12.140625" style="55" customWidth="1"/>
    <col min="7191" max="7192" width="0" style="55" hidden="1" customWidth="1"/>
    <col min="7193" max="7193" width="11.28515625" style="55" customWidth="1"/>
    <col min="7194" max="7195" width="0" style="55" hidden="1" customWidth="1"/>
    <col min="7196" max="7196" width="11.28515625" style="55" customWidth="1"/>
    <col min="7197" max="7198" width="0" style="55" hidden="1" customWidth="1"/>
    <col min="7199" max="7199" width="10.5703125" style="55" customWidth="1"/>
    <col min="7200" max="7200" width="0" style="55" hidden="1" customWidth="1"/>
    <col min="7201" max="7362" width="9.140625" style="55"/>
    <col min="7363" max="7363" width="10.85546875" style="55" customWidth="1"/>
    <col min="7364" max="7364" width="35.7109375" style="55" customWidth="1"/>
    <col min="7365" max="7366" width="0" style="55" hidden="1" customWidth="1"/>
    <col min="7367" max="7367" width="21.28515625" style="55" customWidth="1"/>
    <col min="7368" max="7368" width="13.42578125" style="55" customWidth="1"/>
    <col min="7369" max="7370" width="0" style="55" hidden="1" customWidth="1"/>
    <col min="7371" max="7371" width="10.42578125" style="55" customWidth="1"/>
    <col min="7372" max="7373" width="0" style="55" hidden="1" customWidth="1"/>
    <col min="7374" max="7374" width="12.42578125" style="55" customWidth="1"/>
    <col min="7375" max="7376" width="0" style="55" hidden="1" customWidth="1"/>
    <col min="7377" max="7377" width="10.42578125" style="55" customWidth="1"/>
    <col min="7378" max="7379" width="0" style="55" hidden="1" customWidth="1"/>
    <col min="7380" max="7380" width="11.140625" style="55" customWidth="1"/>
    <col min="7381" max="7382" width="0" style="55" hidden="1" customWidth="1"/>
    <col min="7383" max="7383" width="10.42578125" style="55" customWidth="1"/>
    <col min="7384" max="7385" width="0" style="55" hidden="1" customWidth="1"/>
    <col min="7386" max="7386" width="9.5703125" style="55" customWidth="1"/>
    <col min="7387" max="7388" width="0" style="55" hidden="1" customWidth="1"/>
    <col min="7389" max="7389" width="10.28515625" style="55" customWidth="1"/>
    <col min="7390" max="7391" width="0" style="55" hidden="1" customWidth="1"/>
    <col min="7392" max="7392" width="10.85546875" style="55" customWidth="1"/>
    <col min="7393" max="7394" width="0" style="55" hidden="1" customWidth="1"/>
    <col min="7395" max="7395" width="12.28515625" style="55" customWidth="1"/>
    <col min="7396" max="7397" width="0" style="55" hidden="1" customWidth="1"/>
    <col min="7398" max="7398" width="11.85546875" style="55" customWidth="1"/>
    <col min="7399" max="7400" width="0" style="55" hidden="1" customWidth="1"/>
    <col min="7401" max="7401" width="10.5703125" style="55" customWidth="1"/>
    <col min="7402" max="7403" width="0" style="55" hidden="1" customWidth="1"/>
    <col min="7404" max="7404" width="10.140625" style="55" customWidth="1"/>
    <col min="7405" max="7406" width="0" style="55" hidden="1" customWidth="1"/>
    <col min="7407" max="7407" width="10.140625" style="55" customWidth="1"/>
    <col min="7408" max="7409" width="0" style="55" hidden="1" customWidth="1"/>
    <col min="7410" max="7410" width="10.42578125" style="55" customWidth="1"/>
    <col min="7411" max="7412" width="0" style="55" hidden="1" customWidth="1"/>
    <col min="7413" max="7413" width="9.7109375" style="55" customWidth="1"/>
    <col min="7414" max="7415" width="0" style="55" hidden="1" customWidth="1"/>
    <col min="7416" max="7416" width="10" style="55" customWidth="1"/>
    <col min="7417" max="7418" width="0" style="55" hidden="1" customWidth="1"/>
    <col min="7419" max="7419" width="12.7109375" style="55" customWidth="1"/>
    <col min="7420" max="7421" width="0" style="55" hidden="1" customWidth="1"/>
    <col min="7422" max="7422" width="12.5703125" style="55" customWidth="1"/>
    <col min="7423" max="7424" width="0" style="55" hidden="1" customWidth="1"/>
    <col min="7425" max="7425" width="10.42578125" style="55" customWidth="1"/>
    <col min="7426" max="7427" width="0" style="55" hidden="1" customWidth="1"/>
    <col min="7428" max="7428" width="9.5703125" style="55" customWidth="1"/>
    <col min="7429" max="7430" width="0" style="55" hidden="1" customWidth="1"/>
    <col min="7431" max="7431" width="10.28515625" style="55" customWidth="1"/>
    <col min="7432" max="7433" width="0" style="55" hidden="1" customWidth="1"/>
    <col min="7434" max="7434" width="11" style="55" customWidth="1"/>
    <col min="7435" max="7436" width="0" style="55" hidden="1" customWidth="1"/>
    <col min="7437" max="7437" width="12.28515625" style="55" customWidth="1"/>
    <col min="7438" max="7439" width="0" style="55" hidden="1" customWidth="1"/>
    <col min="7440" max="7440" width="11.85546875" style="55" customWidth="1"/>
    <col min="7441" max="7442" width="0" style="55" hidden="1" customWidth="1"/>
    <col min="7443" max="7443" width="11" style="55" customWidth="1"/>
    <col min="7444" max="7445" width="0" style="55" hidden="1" customWidth="1"/>
    <col min="7446" max="7446" width="12.140625" style="55" customWidth="1"/>
    <col min="7447" max="7448" width="0" style="55" hidden="1" customWidth="1"/>
    <col min="7449" max="7449" width="11.28515625" style="55" customWidth="1"/>
    <col min="7450" max="7451" width="0" style="55" hidden="1" customWidth="1"/>
    <col min="7452" max="7452" width="11.28515625" style="55" customWidth="1"/>
    <col min="7453" max="7454" width="0" style="55" hidden="1" customWidth="1"/>
    <col min="7455" max="7455" width="10.5703125" style="55" customWidth="1"/>
    <col min="7456" max="7456" width="0" style="55" hidden="1" customWidth="1"/>
    <col min="7457" max="7618" width="9.140625" style="55"/>
    <col min="7619" max="7619" width="10.85546875" style="55" customWidth="1"/>
    <col min="7620" max="7620" width="35.7109375" style="55" customWidth="1"/>
    <col min="7621" max="7622" width="0" style="55" hidden="1" customWidth="1"/>
    <col min="7623" max="7623" width="21.28515625" style="55" customWidth="1"/>
    <col min="7624" max="7624" width="13.42578125" style="55" customWidth="1"/>
    <col min="7625" max="7626" width="0" style="55" hidden="1" customWidth="1"/>
    <col min="7627" max="7627" width="10.42578125" style="55" customWidth="1"/>
    <col min="7628" max="7629" width="0" style="55" hidden="1" customWidth="1"/>
    <col min="7630" max="7630" width="12.42578125" style="55" customWidth="1"/>
    <col min="7631" max="7632" width="0" style="55" hidden="1" customWidth="1"/>
    <col min="7633" max="7633" width="10.42578125" style="55" customWidth="1"/>
    <col min="7634" max="7635" width="0" style="55" hidden="1" customWidth="1"/>
    <col min="7636" max="7636" width="11.140625" style="55" customWidth="1"/>
    <col min="7637" max="7638" width="0" style="55" hidden="1" customWidth="1"/>
    <col min="7639" max="7639" width="10.42578125" style="55" customWidth="1"/>
    <col min="7640" max="7641" width="0" style="55" hidden="1" customWidth="1"/>
    <col min="7642" max="7642" width="9.5703125" style="55" customWidth="1"/>
    <col min="7643" max="7644" width="0" style="55" hidden="1" customWidth="1"/>
    <col min="7645" max="7645" width="10.28515625" style="55" customWidth="1"/>
    <col min="7646" max="7647" width="0" style="55" hidden="1" customWidth="1"/>
    <col min="7648" max="7648" width="10.85546875" style="55" customWidth="1"/>
    <col min="7649" max="7650" width="0" style="55" hidden="1" customWidth="1"/>
    <col min="7651" max="7651" width="12.28515625" style="55" customWidth="1"/>
    <col min="7652" max="7653" width="0" style="55" hidden="1" customWidth="1"/>
    <col min="7654" max="7654" width="11.85546875" style="55" customWidth="1"/>
    <col min="7655" max="7656" width="0" style="55" hidden="1" customWidth="1"/>
    <col min="7657" max="7657" width="10.5703125" style="55" customWidth="1"/>
    <col min="7658" max="7659" width="0" style="55" hidden="1" customWidth="1"/>
    <col min="7660" max="7660" width="10.140625" style="55" customWidth="1"/>
    <col min="7661" max="7662" width="0" style="55" hidden="1" customWidth="1"/>
    <col min="7663" max="7663" width="10.140625" style="55" customWidth="1"/>
    <col min="7664" max="7665" width="0" style="55" hidden="1" customWidth="1"/>
    <col min="7666" max="7666" width="10.42578125" style="55" customWidth="1"/>
    <col min="7667" max="7668" width="0" style="55" hidden="1" customWidth="1"/>
    <col min="7669" max="7669" width="9.7109375" style="55" customWidth="1"/>
    <col min="7670" max="7671" width="0" style="55" hidden="1" customWidth="1"/>
    <col min="7672" max="7672" width="10" style="55" customWidth="1"/>
    <col min="7673" max="7674" width="0" style="55" hidden="1" customWidth="1"/>
    <col min="7675" max="7675" width="12.7109375" style="55" customWidth="1"/>
    <col min="7676" max="7677" width="0" style="55" hidden="1" customWidth="1"/>
    <col min="7678" max="7678" width="12.5703125" style="55" customWidth="1"/>
    <col min="7679" max="7680" width="0" style="55" hidden="1" customWidth="1"/>
    <col min="7681" max="7681" width="10.42578125" style="55" customWidth="1"/>
    <col min="7682" max="7683" width="0" style="55" hidden="1" customWidth="1"/>
    <col min="7684" max="7684" width="9.5703125" style="55" customWidth="1"/>
    <col min="7685" max="7686" width="0" style="55" hidden="1" customWidth="1"/>
    <col min="7687" max="7687" width="10.28515625" style="55" customWidth="1"/>
    <col min="7688" max="7689" width="0" style="55" hidden="1" customWidth="1"/>
    <col min="7690" max="7690" width="11" style="55" customWidth="1"/>
    <col min="7691" max="7692" width="0" style="55" hidden="1" customWidth="1"/>
    <col min="7693" max="7693" width="12.28515625" style="55" customWidth="1"/>
    <col min="7694" max="7695" width="0" style="55" hidden="1" customWidth="1"/>
    <col min="7696" max="7696" width="11.85546875" style="55" customWidth="1"/>
    <col min="7697" max="7698" width="0" style="55" hidden="1" customWidth="1"/>
    <col min="7699" max="7699" width="11" style="55" customWidth="1"/>
    <col min="7700" max="7701" width="0" style="55" hidden="1" customWidth="1"/>
    <col min="7702" max="7702" width="12.140625" style="55" customWidth="1"/>
    <col min="7703" max="7704" width="0" style="55" hidden="1" customWidth="1"/>
    <col min="7705" max="7705" width="11.28515625" style="55" customWidth="1"/>
    <col min="7706" max="7707" width="0" style="55" hidden="1" customWidth="1"/>
    <col min="7708" max="7708" width="11.28515625" style="55" customWidth="1"/>
    <col min="7709" max="7710" width="0" style="55" hidden="1" customWidth="1"/>
    <col min="7711" max="7711" width="10.5703125" style="55" customWidth="1"/>
    <col min="7712" max="7712" width="0" style="55" hidden="1" customWidth="1"/>
    <col min="7713" max="7874" width="9.140625" style="55"/>
    <col min="7875" max="7875" width="10.85546875" style="55" customWidth="1"/>
    <col min="7876" max="7876" width="35.7109375" style="55" customWidth="1"/>
    <col min="7877" max="7878" width="0" style="55" hidden="1" customWidth="1"/>
    <col min="7879" max="7879" width="21.28515625" style="55" customWidth="1"/>
    <col min="7880" max="7880" width="13.42578125" style="55" customWidth="1"/>
    <col min="7881" max="7882" width="0" style="55" hidden="1" customWidth="1"/>
    <col min="7883" max="7883" width="10.42578125" style="55" customWidth="1"/>
    <col min="7884" max="7885" width="0" style="55" hidden="1" customWidth="1"/>
    <col min="7886" max="7886" width="12.42578125" style="55" customWidth="1"/>
    <col min="7887" max="7888" width="0" style="55" hidden="1" customWidth="1"/>
    <col min="7889" max="7889" width="10.42578125" style="55" customWidth="1"/>
    <col min="7890" max="7891" width="0" style="55" hidden="1" customWidth="1"/>
    <col min="7892" max="7892" width="11.140625" style="55" customWidth="1"/>
    <col min="7893" max="7894" width="0" style="55" hidden="1" customWidth="1"/>
    <col min="7895" max="7895" width="10.42578125" style="55" customWidth="1"/>
    <col min="7896" max="7897" width="0" style="55" hidden="1" customWidth="1"/>
    <col min="7898" max="7898" width="9.5703125" style="55" customWidth="1"/>
    <col min="7899" max="7900" width="0" style="55" hidden="1" customWidth="1"/>
    <col min="7901" max="7901" width="10.28515625" style="55" customWidth="1"/>
    <col min="7902" max="7903" width="0" style="55" hidden="1" customWidth="1"/>
    <col min="7904" max="7904" width="10.85546875" style="55" customWidth="1"/>
    <col min="7905" max="7906" width="0" style="55" hidden="1" customWidth="1"/>
    <col min="7907" max="7907" width="12.28515625" style="55" customWidth="1"/>
    <col min="7908" max="7909" width="0" style="55" hidden="1" customWidth="1"/>
    <col min="7910" max="7910" width="11.85546875" style="55" customWidth="1"/>
    <col min="7911" max="7912" width="0" style="55" hidden="1" customWidth="1"/>
    <col min="7913" max="7913" width="10.5703125" style="55" customWidth="1"/>
    <col min="7914" max="7915" width="0" style="55" hidden="1" customWidth="1"/>
    <col min="7916" max="7916" width="10.140625" style="55" customWidth="1"/>
    <col min="7917" max="7918" width="0" style="55" hidden="1" customWidth="1"/>
    <col min="7919" max="7919" width="10.140625" style="55" customWidth="1"/>
    <col min="7920" max="7921" width="0" style="55" hidden="1" customWidth="1"/>
    <col min="7922" max="7922" width="10.42578125" style="55" customWidth="1"/>
    <col min="7923" max="7924" width="0" style="55" hidden="1" customWidth="1"/>
    <col min="7925" max="7925" width="9.7109375" style="55" customWidth="1"/>
    <col min="7926" max="7927" width="0" style="55" hidden="1" customWidth="1"/>
    <col min="7928" max="7928" width="10" style="55" customWidth="1"/>
    <col min="7929" max="7930" width="0" style="55" hidden="1" customWidth="1"/>
    <col min="7931" max="7931" width="12.7109375" style="55" customWidth="1"/>
    <col min="7932" max="7933" width="0" style="55" hidden="1" customWidth="1"/>
    <col min="7934" max="7934" width="12.5703125" style="55" customWidth="1"/>
    <col min="7935" max="7936" width="0" style="55" hidden="1" customWidth="1"/>
    <col min="7937" max="7937" width="10.42578125" style="55" customWidth="1"/>
    <col min="7938" max="7939" width="0" style="55" hidden="1" customWidth="1"/>
    <col min="7940" max="7940" width="9.5703125" style="55" customWidth="1"/>
    <col min="7941" max="7942" width="0" style="55" hidden="1" customWidth="1"/>
    <col min="7943" max="7943" width="10.28515625" style="55" customWidth="1"/>
    <col min="7944" max="7945" width="0" style="55" hidden="1" customWidth="1"/>
    <col min="7946" max="7946" width="11" style="55" customWidth="1"/>
    <col min="7947" max="7948" width="0" style="55" hidden="1" customWidth="1"/>
    <col min="7949" max="7949" width="12.28515625" style="55" customWidth="1"/>
    <col min="7950" max="7951" width="0" style="55" hidden="1" customWidth="1"/>
    <col min="7952" max="7952" width="11.85546875" style="55" customWidth="1"/>
    <col min="7953" max="7954" width="0" style="55" hidden="1" customWidth="1"/>
    <col min="7955" max="7955" width="11" style="55" customWidth="1"/>
    <col min="7956" max="7957" width="0" style="55" hidden="1" customWidth="1"/>
    <col min="7958" max="7958" width="12.140625" style="55" customWidth="1"/>
    <col min="7959" max="7960" width="0" style="55" hidden="1" customWidth="1"/>
    <col min="7961" max="7961" width="11.28515625" style="55" customWidth="1"/>
    <col min="7962" max="7963" width="0" style="55" hidden="1" customWidth="1"/>
    <col min="7964" max="7964" width="11.28515625" style="55" customWidth="1"/>
    <col min="7965" max="7966" width="0" style="55" hidden="1" customWidth="1"/>
    <col min="7967" max="7967" width="10.5703125" style="55" customWidth="1"/>
    <col min="7968" max="7968" width="0" style="55" hidden="1" customWidth="1"/>
    <col min="7969" max="8130" width="9.140625" style="55"/>
    <col min="8131" max="8131" width="10.85546875" style="55" customWidth="1"/>
    <col min="8132" max="8132" width="35.7109375" style="55" customWidth="1"/>
    <col min="8133" max="8134" width="0" style="55" hidden="1" customWidth="1"/>
    <col min="8135" max="8135" width="21.28515625" style="55" customWidth="1"/>
    <col min="8136" max="8136" width="13.42578125" style="55" customWidth="1"/>
    <col min="8137" max="8138" width="0" style="55" hidden="1" customWidth="1"/>
    <col min="8139" max="8139" width="10.42578125" style="55" customWidth="1"/>
    <col min="8140" max="8141" width="0" style="55" hidden="1" customWidth="1"/>
    <col min="8142" max="8142" width="12.42578125" style="55" customWidth="1"/>
    <col min="8143" max="8144" width="0" style="55" hidden="1" customWidth="1"/>
    <col min="8145" max="8145" width="10.42578125" style="55" customWidth="1"/>
    <col min="8146" max="8147" width="0" style="55" hidden="1" customWidth="1"/>
    <col min="8148" max="8148" width="11.140625" style="55" customWidth="1"/>
    <col min="8149" max="8150" width="0" style="55" hidden="1" customWidth="1"/>
    <col min="8151" max="8151" width="10.42578125" style="55" customWidth="1"/>
    <col min="8152" max="8153" width="0" style="55" hidden="1" customWidth="1"/>
    <col min="8154" max="8154" width="9.5703125" style="55" customWidth="1"/>
    <col min="8155" max="8156" width="0" style="55" hidden="1" customWidth="1"/>
    <col min="8157" max="8157" width="10.28515625" style="55" customWidth="1"/>
    <col min="8158" max="8159" width="0" style="55" hidden="1" customWidth="1"/>
    <col min="8160" max="8160" width="10.85546875" style="55" customWidth="1"/>
    <col min="8161" max="8162" width="0" style="55" hidden="1" customWidth="1"/>
    <col min="8163" max="8163" width="12.28515625" style="55" customWidth="1"/>
    <col min="8164" max="8165" width="0" style="55" hidden="1" customWidth="1"/>
    <col min="8166" max="8166" width="11.85546875" style="55" customWidth="1"/>
    <col min="8167" max="8168" width="0" style="55" hidden="1" customWidth="1"/>
    <col min="8169" max="8169" width="10.5703125" style="55" customWidth="1"/>
    <col min="8170" max="8171" width="0" style="55" hidden="1" customWidth="1"/>
    <col min="8172" max="8172" width="10.140625" style="55" customWidth="1"/>
    <col min="8173" max="8174" width="0" style="55" hidden="1" customWidth="1"/>
    <col min="8175" max="8175" width="10.140625" style="55" customWidth="1"/>
    <col min="8176" max="8177" width="0" style="55" hidden="1" customWidth="1"/>
    <col min="8178" max="8178" width="10.42578125" style="55" customWidth="1"/>
    <col min="8179" max="8180" width="0" style="55" hidden="1" customWidth="1"/>
    <col min="8181" max="8181" width="9.7109375" style="55" customWidth="1"/>
    <col min="8182" max="8183" width="0" style="55" hidden="1" customWidth="1"/>
    <col min="8184" max="8184" width="10" style="55" customWidth="1"/>
    <col min="8185" max="8186" width="0" style="55" hidden="1" customWidth="1"/>
    <col min="8187" max="8187" width="12.7109375" style="55" customWidth="1"/>
    <col min="8188" max="8189" width="0" style="55" hidden="1" customWidth="1"/>
    <col min="8190" max="8190" width="12.5703125" style="55" customWidth="1"/>
    <col min="8191" max="8192" width="0" style="55" hidden="1" customWidth="1"/>
    <col min="8193" max="8193" width="10.42578125" style="55" customWidth="1"/>
    <col min="8194" max="8195" width="0" style="55" hidden="1" customWidth="1"/>
    <col min="8196" max="8196" width="9.5703125" style="55" customWidth="1"/>
    <col min="8197" max="8198" width="0" style="55" hidden="1" customWidth="1"/>
    <col min="8199" max="8199" width="10.28515625" style="55" customWidth="1"/>
    <col min="8200" max="8201" width="0" style="55" hidden="1" customWidth="1"/>
    <col min="8202" max="8202" width="11" style="55" customWidth="1"/>
    <col min="8203" max="8204" width="0" style="55" hidden="1" customWidth="1"/>
    <col min="8205" max="8205" width="12.28515625" style="55" customWidth="1"/>
    <col min="8206" max="8207" width="0" style="55" hidden="1" customWidth="1"/>
    <col min="8208" max="8208" width="11.85546875" style="55" customWidth="1"/>
    <col min="8209" max="8210" width="0" style="55" hidden="1" customWidth="1"/>
    <col min="8211" max="8211" width="11" style="55" customWidth="1"/>
    <col min="8212" max="8213" width="0" style="55" hidden="1" customWidth="1"/>
    <col min="8214" max="8214" width="12.140625" style="55" customWidth="1"/>
    <col min="8215" max="8216" width="0" style="55" hidden="1" customWidth="1"/>
    <col min="8217" max="8217" width="11.28515625" style="55" customWidth="1"/>
    <col min="8218" max="8219" width="0" style="55" hidden="1" customWidth="1"/>
    <col min="8220" max="8220" width="11.28515625" style="55" customWidth="1"/>
    <col min="8221" max="8222" width="0" style="55" hidden="1" customWidth="1"/>
    <col min="8223" max="8223" width="10.5703125" style="55" customWidth="1"/>
    <col min="8224" max="8224" width="0" style="55" hidden="1" customWidth="1"/>
    <col min="8225" max="8386" width="9.140625" style="55"/>
    <col min="8387" max="8387" width="10.85546875" style="55" customWidth="1"/>
    <col min="8388" max="8388" width="35.7109375" style="55" customWidth="1"/>
    <col min="8389" max="8390" width="0" style="55" hidden="1" customWidth="1"/>
    <col min="8391" max="8391" width="21.28515625" style="55" customWidth="1"/>
    <col min="8392" max="8392" width="13.42578125" style="55" customWidth="1"/>
    <col min="8393" max="8394" width="0" style="55" hidden="1" customWidth="1"/>
    <col min="8395" max="8395" width="10.42578125" style="55" customWidth="1"/>
    <col min="8396" max="8397" width="0" style="55" hidden="1" customWidth="1"/>
    <col min="8398" max="8398" width="12.42578125" style="55" customWidth="1"/>
    <col min="8399" max="8400" width="0" style="55" hidden="1" customWidth="1"/>
    <col min="8401" max="8401" width="10.42578125" style="55" customWidth="1"/>
    <col min="8402" max="8403" width="0" style="55" hidden="1" customWidth="1"/>
    <col min="8404" max="8404" width="11.140625" style="55" customWidth="1"/>
    <col min="8405" max="8406" width="0" style="55" hidden="1" customWidth="1"/>
    <col min="8407" max="8407" width="10.42578125" style="55" customWidth="1"/>
    <col min="8408" max="8409" width="0" style="55" hidden="1" customWidth="1"/>
    <col min="8410" max="8410" width="9.5703125" style="55" customWidth="1"/>
    <col min="8411" max="8412" width="0" style="55" hidden="1" customWidth="1"/>
    <col min="8413" max="8413" width="10.28515625" style="55" customWidth="1"/>
    <col min="8414" max="8415" width="0" style="55" hidden="1" customWidth="1"/>
    <col min="8416" max="8416" width="10.85546875" style="55" customWidth="1"/>
    <col min="8417" max="8418" width="0" style="55" hidden="1" customWidth="1"/>
    <col min="8419" max="8419" width="12.28515625" style="55" customWidth="1"/>
    <col min="8420" max="8421" width="0" style="55" hidden="1" customWidth="1"/>
    <col min="8422" max="8422" width="11.85546875" style="55" customWidth="1"/>
    <col min="8423" max="8424" width="0" style="55" hidden="1" customWidth="1"/>
    <col min="8425" max="8425" width="10.5703125" style="55" customWidth="1"/>
    <col min="8426" max="8427" width="0" style="55" hidden="1" customWidth="1"/>
    <col min="8428" max="8428" width="10.140625" style="55" customWidth="1"/>
    <col min="8429" max="8430" width="0" style="55" hidden="1" customWidth="1"/>
    <col min="8431" max="8431" width="10.140625" style="55" customWidth="1"/>
    <col min="8432" max="8433" width="0" style="55" hidden="1" customWidth="1"/>
    <col min="8434" max="8434" width="10.42578125" style="55" customWidth="1"/>
    <col min="8435" max="8436" width="0" style="55" hidden="1" customWidth="1"/>
    <col min="8437" max="8437" width="9.7109375" style="55" customWidth="1"/>
    <col min="8438" max="8439" width="0" style="55" hidden="1" customWidth="1"/>
    <col min="8440" max="8440" width="10" style="55" customWidth="1"/>
    <col min="8441" max="8442" width="0" style="55" hidden="1" customWidth="1"/>
    <col min="8443" max="8443" width="12.7109375" style="55" customWidth="1"/>
    <col min="8444" max="8445" width="0" style="55" hidden="1" customWidth="1"/>
    <col min="8446" max="8446" width="12.5703125" style="55" customWidth="1"/>
    <col min="8447" max="8448" width="0" style="55" hidden="1" customWidth="1"/>
    <col min="8449" max="8449" width="10.42578125" style="55" customWidth="1"/>
    <col min="8450" max="8451" width="0" style="55" hidden="1" customWidth="1"/>
    <col min="8452" max="8452" width="9.5703125" style="55" customWidth="1"/>
    <col min="8453" max="8454" width="0" style="55" hidden="1" customWidth="1"/>
    <col min="8455" max="8455" width="10.28515625" style="55" customWidth="1"/>
    <col min="8456" max="8457" width="0" style="55" hidden="1" customWidth="1"/>
    <col min="8458" max="8458" width="11" style="55" customWidth="1"/>
    <col min="8459" max="8460" width="0" style="55" hidden="1" customWidth="1"/>
    <col min="8461" max="8461" width="12.28515625" style="55" customWidth="1"/>
    <col min="8462" max="8463" width="0" style="55" hidden="1" customWidth="1"/>
    <col min="8464" max="8464" width="11.85546875" style="55" customWidth="1"/>
    <col min="8465" max="8466" width="0" style="55" hidden="1" customWidth="1"/>
    <col min="8467" max="8467" width="11" style="55" customWidth="1"/>
    <col min="8468" max="8469" width="0" style="55" hidden="1" customWidth="1"/>
    <col min="8470" max="8470" width="12.140625" style="55" customWidth="1"/>
    <col min="8471" max="8472" width="0" style="55" hidden="1" customWidth="1"/>
    <col min="8473" max="8473" width="11.28515625" style="55" customWidth="1"/>
    <col min="8474" max="8475" width="0" style="55" hidden="1" customWidth="1"/>
    <col min="8476" max="8476" width="11.28515625" style="55" customWidth="1"/>
    <col min="8477" max="8478" width="0" style="55" hidden="1" customWidth="1"/>
    <col min="8479" max="8479" width="10.5703125" style="55" customWidth="1"/>
    <col min="8480" max="8480" width="0" style="55" hidden="1" customWidth="1"/>
    <col min="8481" max="8642" width="9.140625" style="55"/>
    <col min="8643" max="8643" width="10.85546875" style="55" customWidth="1"/>
    <col min="8644" max="8644" width="35.7109375" style="55" customWidth="1"/>
    <col min="8645" max="8646" width="0" style="55" hidden="1" customWidth="1"/>
    <col min="8647" max="8647" width="21.28515625" style="55" customWidth="1"/>
    <col min="8648" max="8648" width="13.42578125" style="55" customWidth="1"/>
    <col min="8649" max="8650" width="0" style="55" hidden="1" customWidth="1"/>
    <col min="8651" max="8651" width="10.42578125" style="55" customWidth="1"/>
    <col min="8652" max="8653" width="0" style="55" hidden="1" customWidth="1"/>
    <col min="8654" max="8654" width="12.42578125" style="55" customWidth="1"/>
    <col min="8655" max="8656" width="0" style="55" hidden="1" customWidth="1"/>
    <col min="8657" max="8657" width="10.42578125" style="55" customWidth="1"/>
    <col min="8658" max="8659" width="0" style="55" hidden="1" customWidth="1"/>
    <col min="8660" max="8660" width="11.140625" style="55" customWidth="1"/>
    <col min="8661" max="8662" width="0" style="55" hidden="1" customWidth="1"/>
    <col min="8663" max="8663" width="10.42578125" style="55" customWidth="1"/>
    <col min="8664" max="8665" width="0" style="55" hidden="1" customWidth="1"/>
    <col min="8666" max="8666" width="9.5703125" style="55" customWidth="1"/>
    <col min="8667" max="8668" width="0" style="55" hidden="1" customWidth="1"/>
    <col min="8669" max="8669" width="10.28515625" style="55" customWidth="1"/>
    <col min="8670" max="8671" width="0" style="55" hidden="1" customWidth="1"/>
    <col min="8672" max="8672" width="10.85546875" style="55" customWidth="1"/>
    <col min="8673" max="8674" width="0" style="55" hidden="1" customWidth="1"/>
    <col min="8675" max="8675" width="12.28515625" style="55" customWidth="1"/>
    <col min="8676" max="8677" width="0" style="55" hidden="1" customWidth="1"/>
    <col min="8678" max="8678" width="11.85546875" style="55" customWidth="1"/>
    <col min="8679" max="8680" width="0" style="55" hidden="1" customWidth="1"/>
    <col min="8681" max="8681" width="10.5703125" style="55" customWidth="1"/>
    <col min="8682" max="8683" width="0" style="55" hidden="1" customWidth="1"/>
    <col min="8684" max="8684" width="10.140625" style="55" customWidth="1"/>
    <col min="8685" max="8686" width="0" style="55" hidden="1" customWidth="1"/>
    <col min="8687" max="8687" width="10.140625" style="55" customWidth="1"/>
    <col min="8688" max="8689" width="0" style="55" hidden="1" customWidth="1"/>
    <col min="8690" max="8690" width="10.42578125" style="55" customWidth="1"/>
    <col min="8691" max="8692" width="0" style="55" hidden="1" customWidth="1"/>
    <col min="8693" max="8693" width="9.7109375" style="55" customWidth="1"/>
    <col min="8694" max="8695" width="0" style="55" hidden="1" customWidth="1"/>
    <col min="8696" max="8696" width="10" style="55" customWidth="1"/>
    <col min="8697" max="8698" width="0" style="55" hidden="1" customWidth="1"/>
    <col min="8699" max="8699" width="12.7109375" style="55" customWidth="1"/>
    <col min="8700" max="8701" width="0" style="55" hidden="1" customWidth="1"/>
    <col min="8702" max="8702" width="12.5703125" style="55" customWidth="1"/>
    <col min="8703" max="8704" width="0" style="55" hidden="1" customWidth="1"/>
    <col min="8705" max="8705" width="10.42578125" style="55" customWidth="1"/>
    <col min="8706" max="8707" width="0" style="55" hidden="1" customWidth="1"/>
    <col min="8708" max="8708" width="9.5703125" style="55" customWidth="1"/>
    <col min="8709" max="8710" width="0" style="55" hidden="1" customWidth="1"/>
    <col min="8711" max="8711" width="10.28515625" style="55" customWidth="1"/>
    <col min="8712" max="8713" width="0" style="55" hidden="1" customWidth="1"/>
    <col min="8714" max="8714" width="11" style="55" customWidth="1"/>
    <col min="8715" max="8716" width="0" style="55" hidden="1" customWidth="1"/>
    <col min="8717" max="8717" width="12.28515625" style="55" customWidth="1"/>
    <col min="8718" max="8719" width="0" style="55" hidden="1" customWidth="1"/>
    <col min="8720" max="8720" width="11.85546875" style="55" customWidth="1"/>
    <col min="8721" max="8722" width="0" style="55" hidden="1" customWidth="1"/>
    <col min="8723" max="8723" width="11" style="55" customWidth="1"/>
    <col min="8724" max="8725" width="0" style="55" hidden="1" customWidth="1"/>
    <col min="8726" max="8726" width="12.140625" style="55" customWidth="1"/>
    <col min="8727" max="8728" width="0" style="55" hidden="1" customWidth="1"/>
    <col min="8729" max="8729" width="11.28515625" style="55" customWidth="1"/>
    <col min="8730" max="8731" width="0" style="55" hidden="1" customWidth="1"/>
    <col min="8732" max="8732" width="11.28515625" style="55" customWidth="1"/>
    <col min="8733" max="8734" width="0" style="55" hidden="1" customWidth="1"/>
    <col min="8735" max="8735" width="10.5703125" style="55" customWidth="1"/>
    <col min="8736" max="8736" width="0" style="55" hidden="1" customWidth="1"/>
    <col min="8737" max="8898" width="9.140625" style="55"/>
    <col min="8899" max="8899" width="10.85546875" style="55" customWidth="1"/>
    <col min="8900" max="8900" width="35.7109375" style="55" customWidth="1"/>
    <col min="8901" max="8902" width="0" style="55" hidden="1" customWidth="1"/>
    <col min="8903" max="8903" width="21.28515625" style="55" customWidth="1"/>
    <col min="8904" max="8904" width="13.42578125" style="55" customWidth="1"/>
    <col min="8905" max="8906" width="0" style="55" hidden="1" customWidth="1"/>
    <col min="8907" max="8907" width="10.42578125" style="55" customWidth="1"/>
    <col min="8908" max="8909" width="0" style="55" hidden="1" customWidth="1"/>
    <col min="8910" max="8910" width="12.42578125" style="55" customWidth="1"/>
    <col min="8911" max="8912" width="0" style="55" hidden="1" customWidth="1"/>
    <col min="8913" max="8913" width="10.42578125" style="55" customWidth="1"/>
    <col min="8914" max="8915" width="0" style="55" hidden="1" customWidth="1"/>
    <col min="8916" max="8916" width="11.140625" style="55" customWidth="1"/>
    <col min="8917" max="8918" width="0" style="55" hidden="1" customWidth="1"/>
    <col min="8919" max="8919" width="10.42578125" style="55" customWidth="1"/>
    <col min="8920" max="8921" width="0" style="55" hidden="1" customWidth="1"/>
    <col min="8922" max="8922" width="9.5703125" style="55" customWidth="1"/>
    <col min="8923" max="8924" width="0" style="55" hidden="1" customWidth="1"/>
    <col min="8925" max="8925" width="10.28515625" style="55" customWidth="1"/>
    <col min="8926" max="8927" width="0" style="55" hidden="1" customWidth="1"/>
    <col min="8928" max="8928" width="10.85546875" style="55" customWidth="1"/>
    <col min="8929" max="8930" width="0" style="55" hidden="1" customWidth="1"/>
    <col min="8931" max="8931" width="12.28515625" style="55" customWidth="1"/>
    <col min="8932" max="8933" width="0" style="55" hidden="1" customWidth="1"/>
    <col min="8934" max="8934" width="11.85546875" style="55" customWidth="1"/>
    <col min="8935" max="8936" width="0" style="55" hidden="1" customWidth="1"/>
    <col min="8937" max="8937" width="10.5703125" style="55" customWidth="1"/>
    <col min="8938" max="8939" width="0" style="55" hidden="1" customWidth="1"/>
    <col min="8940" max="8940" width="10.140625" style="55" customWidth="1"/>
    <col min="8941" max="8942" width="0" style="55" hidden="1" customWidth="1"/>
    <col min="8943" max="8943" width="10.140625" style="55" customWidth="1"/>
    <col min="8944" max="8945" width="0" style="55" hidden="1" customWidth="1"/>
    <col min="8946" max="8946" width="10.42578125" style="55" customWidth="1"/>
    <col min="8947" max="8948" width="0" style="55" hidden="1" customWidth="1"/>
    <col min="8949" max="8949" width="9.7109375" style="55" customWidth="1"/>
    <col min="8950" max="8951" width="0" style="55" hidden="1" customWidth="1"/>
    <col min="8952" max="8952" width="10" style="55" customWidth="1"/>
    <col min="8953" max="8954" width="0" style="55" hidden="1" customWidth="1"/>
    <col min="8955" max="8955" width="12.7109375" style="55" customWidth="1"/>
    <col min="8956" max="8957" width="0" style="55" hidden="1" customWidth="1"/>
    <col min="8958" max="8958" width="12.5703125" style="55" customWidth="1"/>
    <col min="8959" max="8960" width="0" style="55" hidden="1" customWidth="1"/>
    <col min="8961" max="8961" width="10.42578125" style="55" customWidth="1"/>
    <col min="8962" max="8963" width="0" style="55" hidden="1" customWidth="1"/>
    <col min="8964" max="8964" width="9.5703125" style="55" customWidth="1"/>
    <col min="8965" max="8966" width="0" style="55" hidden="1" customWidth="1"/>
    <col min="8967" max="8967" width="10.28515625" style="55" customWidth="1"/>
    <col min="8968" max="8969" width="0" style="55" hidden="1" customWidth="1"/>
    <col min="8970" max="8970" width="11" style="55" customWidth="1"/>
    <col min="8971" max="8972" width="0" style="55" hidden="1" customWidth="1"/>
    <col min="8973" max="8973" width="12.28515625" style="55" customWidth="1"/>
    <col min="8974" max="8975" width="0" style="55" hidden="1" customWidth="1"/>
    <col min="8976" max="8976" width="11.85546875" style="55" customWidth="1"/>
    <col min="8977" max="8978" width="0" style="55" hidden="1" customWidth="1"/>
    <col min="8979" max="8979" width="11" style="55" customWidth="1"/>
    <col min="8980" max="8981" width="0" style="55" hidden="1" customWidth="1"/>
    <col min="8982" max="8982" width="12.140625" style="55" customWidth="1"/>
    <col min="8983" max="8984" width="0" style="55" hidden="1" customWidth="1"/>
    <col min="8985" max="8985" width="11.28515625" style="55" customWidth="1"/>
    <col min="8986" max="8987" width="0" style="55" hidden="1" customWidth="1"/>
    <col min="8988" max="8988" width="11.28515625" style="55" customWidth="1"/>
    <col min="8989" max="8990" width="0" style="55" hidden="1" customWidth="1"/>
    <col min="8991" max="8991" width="10.5703125" style="55" customWidth="1"/>
    <col min="8992" max="8992" width="0" style="55" hidden="1" customWidth="1"/>
    <col min="8993" max="9154" width="9.140625" style="55"/>
    <col min="9155" max="9155" width="10.85546875" style="55" customWidth="1"/>
    <col min="9156" max="9156" width="35.7109375" style="55" customWidth="1"/>
    <col min="9157" max="9158" width="0" style="55" hidden="1" customWidth="1"/>
    <col min="9159" max="9159" width="21.28515625" style="55" customWidth="1"/>
    <col min="9160" max="9160" width="13.42578125" style="55" customWidth="1"/>
    <col min="9161" max="9162" width="0" style="55" hidden="1" customWidth="1"/>
    <col min="9163" max="9163" width="10.42578125" style="55" customWidth="1"/>
    <col min="9164" max="9165" width="0" style="55" hidden="1" customWidth="1"/>
    <col min="9166" max="9166" width="12.42578125" style="55" customWidth="1"/>
    <col min="9167" max="9168" width="0" style="55" hidden="1" customWidth="1"/>
    <col min="9169" max="9169" width="10.42578125" style="55" customWidth="1"/>
    <col min="9170" max="9171" width="0" style="55" hidden="1" customWidth="1"/>
    <col min="9172" max="9172" width="11.140625" style="55" customWidth="1"/>
    <col min="9173" max="9174" width="0" style="55" hidden="1" customWidth="1"/>
    <col min="9175" max="9175" width="10.42578125" style="55" customWidth="1"/>
    <col min="9176" max="9177" width="0" style="55" hidden="1" customWidth="1"/>
    <col min="9178" max="9178" width="9.5703125" style="55" customWidth="1"/>
    <col min="9179" max="9180" width="0" style="55" hidden="1" customWidth="1"/>
    <col min="9181" max="9181" width="10.28515625" style="55" customWidth="1"/>
    <col min="9182" max="9183" width="0" style="55" hidden="1" customWidth="1"/>
    <col min="9184" max="9184" width="10.85546875" style="55" customWidth="1"/>
    <col min="9185" max="9186" width="0" style="55" hidden="1" customWidth="1"/>
    <col min="9187" max="9187" width="12.28515625" style="55" customWidth="1"/>
    <col min="9188" max="9189" width="0" style="55" hidden="1" customWidth="1"/>
    <col min="9190" max="9190" width="11.85546875" style="55" customWidth="1"/>
    <col min="9191" max="9192" width="0" style="55" hidden="1" customWidth="1"/>
    <col min="9193" max="9193" width="10.5703125" style="55" customWidth="1"/>
    <col min="9194" max="9195" width="0" style="55" hidden="1" customWidth="1"/>
    <col min="9196" max="9196" width="10.140625" style="55" customWidth="1"/>
    <col min="9197" max="9198" width="0" style="55" hidden="1" customWidth="1"/>
    <col min="9199" max="9199" width="10.140625" style="55" customWidth="1"/>
    <col min="9200" max="9201" width="0" style="55" hidden="1" customWidth="1"/>
    <col min="9202" max="9202" width="10.42578125" style="55" customWidth="1"/>
    <col min="9203" max="9204" width="0" style="55" hidden="1" customWidth="1"/>
    <col min="9205" max="9205" width="9.7109375" style="55" customWidth="1"/>
    <col min="9206" max="9207" width="0" style="55" hidden="1" customWidth="1"/>
    <col min="9208" max="9208" width="10" style="55" customWidth="1"/>
    <col min="9209" max="9210" width="0" style="55" hidden="1" customWidth="1"/>
    <col min="9211" max="9211" width="12.7109375" style="55" customWidth="1"/>
    <col min="9212" max="9213" width="0" style="55" hidden="1" customWidth="1"/>
    <col min="9214" max="9214" width="12.5703125" style="55" customWidth="1"/>
    <col min="9215" max="9216" width="0" style="55" hidden="1" customWidth="1"/>
    <col min="9217" max="9217" width="10.42578125" style="55" customWidth="1"/>
    <col min="9218" max="9219" width="0" style="55" hidden="1" customWidth="1"/>
    <col min="9220" max="9220" width="9.5703125" style="55" customWidth="1"/>
    <col min="9221" max="9222" width="0" style="55" hidden="1" customWidth="1"/>
    <col min="9223" max="9223" width="10.28515625" style="55" customWidth="1"/>
    <col min="9224" max="9225" width="0" style="55" hidden="1" customWidth="1"/>
    <col min="9226" max="9226" width="11" style="55" customWidth="1"/>
    <col min="9227" max="9228" width="0" style="55" hidden="1" customWidth="1"/>
    <col min="9229" max="9229" width="12.28515625" style="55" customWidth="1"/>
    <col min="9230" max="9231" width="0" style="55" hidden="1" customWidth="1"/>
    <col min="9232" max="9232" width="11.85546875" style="55" customWidth="1"/>
    <col min="9233" max="9234" width="0" style="55" hidden="1" customWidth="1"/>
    <col min="9235" max="9235" width="11" style="55" customWidth="1"/>
    <col min="9236" max="9237" width="0" style="55" hidden="1" customWidth="1"/>
    <col min="9238" max="9238" width="12.140625" style="55" customWidth="1"/>
    <col min="9239" max="9240" width="0" style="55" hidden="1" customWidth="1"/>
    <col min="9241" max="9241" width="11.28515625" style="55" customWidth="1"/>
    <col min="9242" max="9243" width="0" style="55" hidden="1" customWidth="1"/>
    <col min="9244" max="9244" width="11.28515625" style="55" customWidth="1"/>
    <col min="9245" max="9246" width="0" style="55" hidden="1" customWidth="1"/>
    <col min="9247" max="9247" width="10.5703125" style="55" customWidth="1"/>
    <col min="9248" max="9248" width="0" style="55" hidden="1" customWidth="1"/>
    <col min="9249" max="9410" width="9.140625" style="55"/>
    <col min="9411" max="9411" width="10.85546875" style="55" customWidth="1"/>
    <col min="9412" max="9412" width="35.7109375" style="55" customWidth="1"/>
    <col min="9413" max="9414" width="0" style="55" hidden="1" customWidth="1"/>
    <col min="9415" max="9415" width="21.28515625" style="55" customWidth="1"/>
    <col min="9416" max="9416" width="13.42578125" style="55" customWidth="1"/>
    <col min="9417" max="9418" width="0" style="55" hidden="1" customWidth="1"/>
    <col min="9419" max="9419" width="10.42578125" style="55" customWidth="1"/>
    <col min="9420" max="9421" width="0" style="55" hidden="1" customWidth="1"/>
    <col min="9422" max="9422" width="12.42578125" style="55" customWidth="1"/>
    <col min="9423" max="9424" width="0" style="55" hidden="1" customWidth="1"/>
    <col min="9425" max="9425" width="10.42578125" style="55" customWidth="1"/>
    <col min="9426" max="9427" width="0" style="55" hidden="1" customWidth="1"/>
    <col min="9428" max="9428" width="11.140625" style="55" customWidth="1"/>
    <col min="9429" max="9430" width="0" style="55" hidden="1" customWidth="1"/>
    <col min="9431" max="9431" width="10.42578125" style="55" customWidth="1"/>
    <col min="9432" max="9433" width="0" style="55" hidden="1" customWidth="1"/>
    <col min="9434" max="9434" width="9.5703125" style="55" customWidth="1"/>
    <col min="9435" max="9436" width="0" style="55" hidden="1" customWidth="1"/>
    <col min="9437" max="9437" width="10.28515625" style="55" customWidth="1"/>
    <col min="9438" max="9439" width="0" style="55" hidden="1" customWidth="1"/>
    <col min="9440" max="9440" width="10.85546875" style="55" customWidth="1"/>
    <col min="9441" max="9442" width="0" style="55" hidden="1" customWidth="1"/>
    <col min="9443" max="9443" width="12.28515625" style="55" customWidth="1"/>
    <col min="9444" max="9445" width="0" style="55" hidden="1" customWidth="1"/>
    <col min="9446" max="9446" width="11.85546875" style="55" customWidth="1"/>
    <col min="9447" max="9448" width="0" style="55" hidden="1" customWidth="1"/>
    <col min="9449" max="9449" width="10.5703125" style="55" customWidth="1"/>
    <col min="9450" max="9451" width="0" style="55" hidden="1" customWidth="1"/>
    <col min="9452" max="9452" width="10.140625" style="55" customWidth="1"/>
    <col min="9453" max="9454" width="0" style="55" hidden="1" customWidth="1"/>
    <col min="9455" max="9455" width="10.140625" style="55" customWidth="1"/>
    <col min="9456" max="9457" width="0" style="55" hidden="1" customWidth="1"/>
    <col min="9458" max="9458" width="10.42578125" style="55" customWidth="1"/>
    <col min="9459" max="9460" width="0" style="55" hidden="1" customWidth="1"/>
    <col min="9461" max="9461" width="9.7109375" style="55" customWidth="1"/>
    <col min="9462" max="9463" width="0" style="55" hidden="1" customWidth="1"/>
    <col min="9464" max="9464" width="10" style="55" customWidth="1"/>
    <col min="9465" max="9466" width="0" style="55" hidden="1" customWidth="1"/>
    <col min="9467" max="9467" width="12.7109375" style="55" customWidth="1"/>
    <col min="9468" max="9469" width="0" style="55" hidden="1" customWidth="1"/>
    <col min="9470" max="9470" width="12.5703125" style="55" customWidth="1"/>
    <col min="9471" max="9472" width="0" style="55" hidden="1" customWidth="1"/>
    <col min="9473" max="9473" width="10.42578125" style="55" customWidth="1"/>
    <col min="9474" max="9475" width="0" style="55" hidden="1" customWidth="1"/>
    <col min="9476" max="9476" width="9.5703125" style="55" customWidth="1"/>
    <col min="9477" max="9478" width="0" style="55" hidden="1" customWidth="1"/>
    <col min="9479" max="9479" width="10.28515625" style="55" customWidth="1"/>
    <col min="9480" max="9481" width="0" style="55" hidden="1" customWidth="1"/>
    <col min="9482" max="9482" width="11" style="55" customWidth="1"/>
    <col min="9483" max="9484" width="0" style="55" hidden="1" customWidth="1"/>
    <col min="9485" max="9485" width="12.28515625" style="55" customWidth="1"/>
    <col min="9486" max="9487" width="0" style="55" hidden="1" customWidth="1"/>
    <col min="9488" max="9488" width="11.85546875" style="55" customWidth="1"/>
    <col min="9489" max="9490" width="0" style="55" hidden="1" customWidth="1"/>
    <col min="9491" max="9491" width="11" style="55" customWidth="1"/>
    <col min="9492" max="9493" width="0" style="55" hidden="1" customWidth="1"/>
    <col min="9494" max="9494" width="12.140625" style="55" customWidth="1"/>
    <col min="9495" max="9496" width="0" style="55" hidden="1" customWidth="1"/>
    <col min="9497" max="9497" width="11.28515625" style="55" customWidth="1"/>
    <col min="9498" max="9499" width="0" style="55" hidden="1" customWidth="1"/>
    <col min="9500" max="9500" width="11.28515625" style="55" customWidth="1"/>
    <col min="9501" max="9502" width="0" style="55" hidden="1" customWidth="1"/>
    <col min="9503" max="9503" width="10.5703125" style="55" customWidth="1"/>
    <col min="9504" max="9504" width="0" style="55" hidden="1" customWidth="1"/>
    <col min="9505" max="9666" width="9.140625" style="55"/>
    <col min="9667" max="9667" width="10.85546875" style="55" customWidth="1"/>
    <col min="9668" max="9668" width="35.7109375" style="55" customWidth="1"/>
    <col min="9669" max="9670" width="0" style="55" hidden="1" customWidth="1"/>
    <col min="9671" max="9671" width="21.28515625" style="55" customWidth="1"/>
    <col min="9672" max="9672" width="13.42578125" style="55" customWidth="1"/>
    <col min="9673" max="9674" width="0" style="55" hidden="1" customWidth="1"/>
    <col min="9675" max="9675" width="10.42578125" style="55" customWidth="1"/>
    <col min="9676" max="9677" width="0" style="55" hidden="1" customWidth="1"/>
    <col min="9678" max="9678" width="12.42578125" style="55" customWidth="1"/>
    <col min="9679" max="9680" width="0" style="55" hidden="1" customWidth="1"/>
    <col min="9681" max="9681" width="10.42578125" style="55" customWidth="1"/>
    <col min="9682" max="9683" width="0" style="55" hidden="1" customWidth="1"/>
    <col min="9684" max="9684" width="11.140625" style="55" customWidth="1"/>
    <col min="9685" max="9686" width="0" style="55" hidden="1" customWidth="1"/>
    <col min="9687" max="9687" width="10.42578125" style="55" customWidth="1"/>
    <col min="9688" max="9689" width="0" style="55" hidden="1" customWidth="1"/>
    <col min="9690" max="9690" width="9.5703125" style="55" customWidth="1"/>
    <col min="9691" max="9692" width="0" style="55" hidden="1" customWidth="1"/>
    <col min="9693" max="9693" width="10.28515625" style="55" customWidth="1"/>
    <col min="9694" max="9695" width="0" style="55" hidden="1" customWidth="1"/>
    <col min="9696" max="9696" width="10.85546875" style="55" customWidth="1"/>
    <col min="9697" max="9698" width="0" style="55" hidden="1" customWidth="1"/>
    <col min="9699" max="9699" width="12.28515625" style="55" customWidth="1"/>
    <col min="9700" max="9701" width="0" style="55" hidden="1" customWidth="1"/>
    <col min="9702" max="9702" width="11.85546875" style="55" customWidth="1"/>
    <col min="9703" max="9704" width="0" style="55" hidden="1" customWidth="1"/>
    <col min="9705" max="9705" width="10.5703125" style="55" customWidth="1"/>
    <col min="9706" max="9707" width="0" style="55" hidden="1" customWidth="1"/>
    <col min="9708" max="9708" width="10.140625" style="55" customWidth="1"/>
    <col min="9709" max="9710" width="0" style="55" hidden="1" customWidth="1"/>
    <col min="9711" max="9711" width="10.140625" style="55" customWidth="1"/>
    <col min="9712" max="9713" width="0" style="55" hidden="1" customWidth="1"/>
    <col min="9714" max="9714" width="10.42578125" style="55" customWidth="1"/>
    <col min="9715" max="9716" width="0" style="55" hidden="1" customWidth="1"/>
    <col min="9717" max="9717" width="9.7109375" style="55" customWidth="1"/>
    <col min="9718" max="9719" width="0" style="55" hidden="1" customWidth="1"/>
    <col min="9720" max="9720" width="10" style="55" customWidth="1"/>
    <col min="9721" max="9722" width="0" style="55" hidden="1" customWidth="1"/>
    <col min="9723" max="9723" width="12.7109375" style="55" customWidth="1"/>
    <col min="9724" max="9725" width="0" style="55" hidden="1" customWidth="1"/>
    <col min="9726" max="9726" width="12.5703125" style="55" customWidth="1"/>
    <col min="9727" max="9728" width="0" style="55" hidden="1" customWidth="1"/>
    <col min="9729" max="9729" width="10.42578125" style="55" customWidth="1"/>
    <col min="9730" max="9731" width="0" style="55" hidden="1" customWidth="1"/>
    <col min="9732" max="9732" width="9.5703125" style="55" customWidth="1"/>
    <col min="9733" max="9734" width="0" style="55" hidden="1" customWidth="1"/>
    <col min="9735" max="9735" width="10.28515625" style="55" customWidth="1"/>
    <col min="9736" max="9737" width="0" style="55" hidden="1" customWidth="1"/>
    <col min="9738" max="9738" width="11" style="55" customWidth="1"/>
    <col min="9739" max="9740" width="0" style="55" hidden="1" customWidth="1"/>
    <col min="9741" max="9741" width="12.28515625" style="55" customWidth="1"/>
    <col min="9742" max="9743" width="0" style="55" hidden="1" customWidth="1"/>
    <col min="9744" max="9744" width="11.85546875" style="55" customWidth="1"/>
    <col min="9745" max="9746" width="0" style="55" hidden="1" customWidth="1"/>
    <col min="9747" max="9747" width="11" style="55" customWidth="1"/>
    <col min="9748" max="9749" width="0" style="55" hidden="1" customWidth="1"/>
    <col min="9750" max="9750" width="12.140625" style="55" customWidth="1"/>
    <col min="9751" max="9752" width="0" style="55" hidden="1" customWidth="1"/>
    <col min="9753" max="9753" width="11.28515625" style="55" customWidth="1"/>
    <col min="9754" max="9755" width="0" style="55" hidden="1" customWidth="1"/>
    <col min="9756" max="9756" width="11.28515625" style="55" customWidth="1"/>
    <col min="9757" max="9758" width="0" style="55" hidden="1" customWidth="1"/>
    <col min="9759" max="9759" width="10.5703125" style="55" customWidth="1"/>
    <col min="9760" max="9760" width="0" style="55" hidden="1" customWidth="1"/>
    <col min="9761" max="9922" width="9.140625" style="55"/>
    <col min="9923" max="9923" width="10.85546875" style="55" customWidth="1"/>
    <col min="9924" max="9924" width="35.7109375" style="55" customWidth="1"/>
    <col min="9925" max="9926" width="0" style="55" hidden="1" customWidth="1"/>
    <col min="9927" max="9927" width="21.28515625" style="55" customWidth="1"/>
    <col min="9928" max="9928" width="13.42578125" style="55" customWidth="1"/>
    <col min="9929" max="9930" width="0" style="55" hidden="1" customWidth="1"/>
    <col min="9931" max="9931" width="10.42578125" style="55" customWidth="1"/>
    <col min="9932" max="9933" width="0" style="55" hidden="1" customWidth="1"/>
    <col min="9934" max="9934" width="12.42578125" style="55" customWidth="1"/>
    <col min="9935" max="9936" width="0" style="55" hidden="1" customWidth="1"/>
    <col min="9937" max="9937" width="10.42578125" style="55" customWidth="1"/>
    <col min="9938" max="9939" width="0" style="55" hidden="1" customWidth="1"/>
    <col min="9940" max="9940" width="11.140625" style="55" customWidth="1"/>
    <col min="9941" max="9942" width="0" style="55" hidden="1" customWidth="1"/>
    <col min="9943" max="9943" width="10.42578125" style="55" customWidth="1"/>
    <col min="9944" max="9945" width="0" style="55" hidden="1" customWidth="1"/>
    <col min="9946" max="9946" width="9.5703125" style="55" customWidth="1"/>
    <col min="9947" max="9948" width="0" style="55" hidden="1" customWidth="1"/>
    <col min="9949" max="9949" width="10.28515625" style="55" customWidth="1"/>
    <col min="9950" max="9951" width="0" style="55" hidden="1" customWidth="1"/>
    <col min="9952" max="9952" width="10.85546875" style="55" customWidth="1"/>
    <col min="9953" max="9954" width="0" style="55" hidden="1" customWidth="1"/>
    <col min="9955" max="9955" width="12.28515625" style="55" customWidth="1"/>
    <col min="9956" max="9957" width="0" style="55" hidden="1" customWidth="1"/>
    <col min="9958" max="9958" width="11.85546875" style="55" customWidth="1"/>
    <col min="9959" max="9960" width="0" style="55" hidden="1" customWidth="1"/>
    <col min="9961" max="9961" width="10.5703125" style="55" customWidth="1"/>
    <col min="9962" max="9963" width="0" style="55" hidden="1" customWidth="1"/>
    <col min="9964" max="9964" width="10.140625" style="55" customWidth="1"/>
    <col min="9965" max="9966" width="0" style="55" hidden="1" customWidth="1"/>
    <col min="9967" max="9967" width="10.140625" style="55" customWidth="1"/>
    <col min="9968" max="9969" width="0" style="55" hidden="1" customWidth="1"/>
    <col min="9970" max="9970" width="10.42578125" style="55" customWidth="1"/>
    <col min="9971" max="9972" width="0" style="55" hidden="1" customWidth="1"/>
    <col min="9973" max="9973" width="9.7109375" style="55" customWidth="1"/>
    <col min="9974" max="9975" width="0" style="55" hidden="1" customWidth="1"/>
    <col min="9976" max="9976" width="10" style="55" customWidth="1"/>
    <col min="9977" max="9978" width="0" style="55" hidden="1" customWidth="1"/>
    <col min="9979" max="9979" width="12.7109375" style="55" customWidth="1"/>
    <col min="9980" max="9981" width="0" style="55" hidden="1" customWidth="1"/>
    <col min="9982" max="9982" width="12.5703125" style="55" customWidth="1"/>
    <col min="9983" max="9984" width="0" style="55" hidden="1" customWidth="1"/>
    <col min="9985" max="9985" width="10.42578125" style="55" customWidth="1"/>
    <col min="9986" max="9987" width="0" style="55" hidden="1" customWidth="1"/>
    <col min="9988" max="9988" width="9.5703125" style="55" customWidth="1"/>
    <col min="9989" max="9990" width="0" style="55" hidden="1" customWidth="1"/>
    <col min="9991" max="9991" width="10.28515625" style="55" customWidth="1"/>
    <col min="9992" max="9993" width="0" style="55" hidden="1" customWidth="1"/>
    <col min="9994" max="9994" width="11" style="55" customWidth="1"/>
    <col min="9995" max="9996" width="0" style="55" hidden="1" customWidth="1"/>
    <col min="9997" max="9997" width="12.28515625" style="55" customWidth="1"/>
    <col min="9998" max="9999" width="0" style="55" hidden="1" customWidth="1"/>
    <col min="10000" max="10000" width="11.85546875" style="55" customWidth="1"/>
    <col min="10001" max="10002" width="0" style="55" hidden="1" customWidth="1"/>
    <col min="10003" max="10003" width="11" style="55" customWidth="1"/>
    <col min="10004" max="10005" width="0" style="55" hidden="1" customWidth="1"/>
    <col min="10006" max="10006" width="12.140625" style="55" customWidth="1"/>
    <col min="10007" max="10008" width="0" style="55" hidden="1" customWidth="1"/>
    <col min="10009" max="10009" width="11.28515625" style="55" customWidth="1"/>
    <col min="10010" max="10011" width="0" style="55" hidden="1" customWidth="1"/>
    <col min="10012" max="10012" width="11.28515625" style="55" customWidth="1"/>
    <col min="10013" max="10014" width="0" style="55" hidden="1" customWidth="1"/>
    <col min="10015" max="10015" width="10.5703125" style="55" customWidth="1"/>
    <col min="10016" max="10016" width="0" style="55" hidden="1" customWidth="1"/>
    <col min="10017" max="10178" width="9.140625" style="55"/>
    <col min="10179" max="10179" width="10.85546875" style="55" customWidth="1"/>
    <col min="10180" max="10180" width="35.7109375" style="55" customWidth="1"/>
    <col min="10181" max="10182" width="0" style="55" hidden="1" customWidth="1"/>
    <col min="10183" max="10183" width="21.28515625" style="55" customWidth="1"/>
    <col min="10184" max="10184" width="13.42578125" style="55" customWidth="1"/>
    <col min="10185" max="10186" width="0" style="55" hidden="1" customWidth="1"/>
    <col min="10187" max="10187" width="10.42578125" style="55" customWidth="1"/>
    <col min="10188" max="10189" width="0" style="55" hidden="1" customWidth="1"/>
    <col min="10190" max="10190" width="12.42578125" style="55" customWidth="1"/>
    <col min="10191" max="10192" width="0" style="55" hidden="1" customWidth="1"/>
    <col min="10193" max="10193" width="10.42578125" style="55" customWidth="1"/>
    <col min="10194" max="10195" width="0" style="55" hidden="1" customWidth="1"/>
    <col min="10196" max="10196" width="11.140625" style="55" customWidth="1"/>
    <col min="10197" max="10198" width="0" style="55" hidden="1" customWidth="1"/>
    <col min="10199" max="10199" width="10.42578125" style="55" customWidth="1"/>
    <col min="10200" max="10201" width="0" style="55" hidden="1" customWidth="1"/>
    <col min="10202" max="10202" width="9.5703125" style="55" customWidth="1"/>
    <col min="10203" max="10204" width="0" style="55" hidden="1" customWidth="1"/>
    <col min="10205" max="10205" width="10.28515625" style="55" customWidth="1"/>
    <col min="10206" max="10207" width="0" style="55" hidden="1" customWidth="1"/>
    <col min="10208" max="10208" width="10.85546875" style="55" customWidth="1"/>
    <col min="10209" max="10210" width="0" style="55" hidden="1" customWidth="1"/>
    <col min="10211" max="10211" width="12.28515625" style="55" customWidth="1"/>
    <col min="10212" max="10213" width="0" style="55" hidden="1" customWidth="1"/>
    <col min="10214" max="10214" width="11.85546875" style="55" customWidth="1"/>
    <col min="10215" max="10216" width="0" style="55" hidden="1" customWidth="1"/>
    <col min="10217" max="10217" width="10.5703125" style="55" customWidth="1"/>
    <col min="10218" max="10219" width="0" style="55" hidden="1" customWidth="1"/>
    <col min="10220" max="10220" width="10.140625" style="55" customWidth="1"/>
    <col min="10221" max="10222" width="0" style="55" hidden="1" customWidth="1"/>
    <col min="10223" max="10223" width="10.140625" style="55" customWidth="1"/>
    <col min="10224" max="10225" width="0" style="55" hidden="1" customWidth="1"/>
    <col min="10226" max="10226" width="10.42578125" style="55" customWidth="1"/>
    <col min="10227" max="10228" width="0" style="55" hidden="1" customWidth="1"/>
    <col min="10229" max="10229" width="9.7109375" style="55" customWidth="1"/>
    <col min="10230" max="10231" width="0" style="55" hidden="1" customWidth="1"/>
    <col min="10232" max="10232" width="10" style="55" customWidth="1"/>
    <col min="10233" max="10234" width="0" style="55" hidden="1" customWidth="1"/>
    <col min="10235" max="10235" width="12.7109375" style="55" customWidth="1"/>
    <col min="10236" max="10237" width="0" style="55" hidden="1" customWidth="1"/>
    <col min="10238" max="10238" width="12.5703125" style="55" customWidth="1"/>
    <col min="10239" max="10240" width="0" style="55" hidden="1" customWidth="1"/>
    <col min="10241" max="10241" width="10.42578125" style="55" customWidth="1"/>
    <col min="10242" max="10243" width="0" style="55" hidden="1" customWidth="1"/>
    <col min="10244" max="10244" width="9.5703125" style="55" customWidth="1"/>
    <col min="10245" max="10246" width="0" style="55" hidden="1" customWidth="1"/>
    <col min="10247" max="10247" width="10.28515625" style="55" customWidth="1"/>
    <col min="10248" max="10249" width="0" style="55" hidden="1" customWidth="1"/>
    <col min="10250" max="10250" width="11" style="55" customWidth="1"/>
    <col min="10251" max="10252" width="0" style="55" hidden="1" customWidth="1"/>
    <col min="10253" max="10253" width="12.28515625" style="55" customWidth="1"/>
    <col min="10254" max="10255" width="0" style="55" hidden="1" customWidth="1"/>
    <col min="10256" max="10256" width="11.85546875" style="55" customWidth="1"/>
    <col min="10257" max="10258" width="0" style="55" hidden="1" customWidth="1"/>
    <col min="10259" max="10259" width="11" style="55" customWidth="1"/>
    <col min="10260" max="10261" width="0" style="55" hidden="1" customWidth="1"/>
    <col min="10262" max="10262" width="12.140625" style="55" customWidth="1"/>
    <col min="10263" max="10264" width="0" style="55" hidden="1" customWidth="1"/>
    <col min="10265" max="10265" width="11.28515625" style="55" customWidth="1"/>
    <col min="10266" max="10267" width="0" style="55" hidden="1" customWidth="1"/>
    <col min="10268" max="10268" width="11.28515625" style="55" customWidth="1"/>
    <col min="10269" max="10270" width="0" style="55" hidden="1" customWidth="1"/>
    <col min="10271" max="10271" width="10.5703125" style="55" customWidth="1"/>
    <col min="10272" max="10272" width="0" style="55" hidden="1" customWidth="1"/>
    <col min="10273" max="10434" width="9.140625" style="55"/>
    <col min="10435" max="10435" width="10.85546875" style="55" customWidth="1"/>
    <col min="10436" max="10436" width="35.7109375" style="55" customWidth="1"/>
    <col min="10437" max="10438" width="0" style="55" hidden="1" customWidth="1"/>
    <col min="10439" max="10439" width="21.28515625" style="55" customWidth="1"/>
    <col min="10440" max="10440" width="13.42578125" style="55" customWidth="1"/>
    <col min="10441" max="10442" width="0" style="55" hidden="1" customWidth="1"/>
    <col min="10443" max="10443" width="10.42578125" style="55" customWidth="1"/>
    <col min="10444" max="10445" width="0" style="55" hidden="1" customWidth="1"/>
    <col min="10446" max="10446" width="12.42578125" style="55" customWidth="1"/>
    <col min="10447" max="10448" width="0" style="55" hidden="1" customWidth="1"/>
    <col min="10449" max="10449" width="10.42578125" style="55" customWidth="1"/>
    <col min="10450" max="10451" width="0" style="55" hidden="1" customWidth="1"/>
    <col min="10452" max="10452" width="11.140625" style="55" customWidth="1"/>
    <col min="10453" max="10454" width="0" style="55" hidden="1" customWidth="1"/>
    <col min="10455" max="10455" width="10.42578125" style="55" customWidth="1"/>
    <col min="10456" max="10457" width="0" style="55" hidden="1" customWidth="1"/>
    <col min="10458" max="10458" width="9.5703125" style="55" customWidth="1"/>
    <col min="10459" max="10460" width="0" style="55" hidden="1" customWidth="1"/>
    <col min="10461" max="10461" width="10.28515625" style="55" customWidth="1"/>
    <col min="10462" max="10463" width="0" style="55" hidden="1" customWidth="1"/>
    <col min="10464" max="10464" width="10.85546875" style="55" customWidth="1"/>
    <col min="10465" max="10466" width="0" style="55" hidden="1" customWidth="1"/>
    <col min="10467" max="10467" width="12.28515625" style="55" customWidth="1"/>
    <col min="10468" max="10469" width="0" style="55" hidden="1" customWidth="1"/>
    <col min="10470" max="10470" width="11.85546875" style="55" customWidth="1"/>
    <col min="10471" max="10472" width="0" style="55" hidden="1" customWidth="1"/>
    <col min="10473" max="10473" width="10.5703125" style="55" customWidth="1"/>
    <col min="10474" max="10475" width="0" style="55" hidden="1" customWidth="1"/>
    <col min="10476" max="10476" width="10.140625" style="55" customWidth="1"/>
    <col min="10477" max="10478" width="0" style="55" hidden="1" customWidth="1"/>
    <col min="10479" max="10479" width="10.140625" style="55" customWidth="1"/>
    <col min="10480" max="10481" width="0" style="55" hidden="1" customWidth="1"/>
    <col min="10482" max="10482" width="10.42578125" style="55" customWidth="1"/>
    <col min="10483" max="10484" width="0" style="55" hidden="1" customWidth="1"/>
    <col min="10485" max="10485" width="9.7109375" style="55" customWidth="1"/>
    <col min="10486" max="10487" width="0" style="55" hidden="1" customWidth="1"/>
    <col min="10488" max="10488" width="10" style="55" customWidth="1"/>
    <col min="10489" max="10490" width="0" style="55" hidden="1" customWidth="1"/>
    <col min="10491" max="10491" width="12.7109375" style="55" customWidth="1"/>
    <col min="10492" max="10493" width="0" style="55" hidden="1" customWidth="1"/>
    <col min="10494" max="10494" width="12.5703125" style="55" customWidth="1"/>
    <col min="10495" max="10496" width="0" style="55" hidden="1" customWidth="1"/>
    <col min="10497" max="10497" width="10.42578125" style="55" customWidth="1"/>
    <col min="10498" max="10499" width="0" style="55" hidden="1" customWidth="1"/>
    <col min="10500" max="10500" width="9.5703125" style="55" customWidth="1"/>
    <col min="10501" max="10502" width="0" style="55" hidden="1" customWidth="1"/>
    <col min="10503" max="10503" width="10.28515625" style="55" customWidth="1"/>
    <col min="10504" max="10505" width="0" style="55" hidden="1" customWidth="1"/>
    <col min="10506" max="10506" width="11" style="55" customWidth="1"/>
    <col min="10507" max="10508" width="0" style="55" hidden="1" customWidth="1"/>
    <col min="10509" max="10509" width="12.28515625" style="55" customWidth="1"/>
    <col min="10510" max="10511" width="0" style="55" hidden="1" customWidth="1"/>
    <col min="10512" max="10512" width="11.85546875" style="55" customWidth="1"/>
    <col min="10513" max="10514" width="0" style="55" hidden="1" customWidth="1"/>
    <col min="10515" max="10515" width="11" style="55" customWidth="1"/>
    <col min="10516" max="10517" width="0" style="55" hidden="1" customWidth="1"/>
    <col min="10518" max="10518" width="12.140625" style="55" customWidth="1"/>
    <col min="10519" max="10520" width="0" style="55" hidden="1" customWidth="1"/>
    <col min="10521" max="10521" width="11.28515625" style="55" customWidth="1"/>
    <col min="10522" max="10523" width="0" style="55" hidden="1" customWidth="1"/>
    <col min="10524" max="10524" width="11.28515625" style="55" customWidth="1"/>
    <col min="10525" max="10526" width="0" style="55" hidden="1" customWidth="1"/>
    <col min="10527" max="10527" width="10.5703125" style="55" customWidth="1"/>
    <col min="10528" max="10528" width="0" style="55" hidden="1" customWidth="1"/>
    <col min="10529" max="10690" width="9.140625" style="55"/>
    <col min="10691" max="10691" width="10.85546875" style="55" customWidth="1"/>
    <col min="10692" max="10692" width="35.7109375" style="55" customWidth="1"/>
    <col min="10693" max="10694" width="0" style="55" hidden="1" customWidth="1"/>
    <col min="10695" max="10695" width="21.28515625" style="55" customWidth="1"/>
    <col min="10696" max="10696" width="13.42578125" style="55" customWidth="1"/>
    <col min="10697" max="10698" width="0" style="55" hidden="1" customWidth="1"/>
    <col min="10699" max="10699" width="10.42578125" style="55" customWidth="1"/>
    <col min="10700" max="10701" width="0" style="55" hidden="1" customWidth="1"/>
    <col min="10702" max="10702" width="12.42578125" style="55" customWidth="1"/>
    <col min="10703" max="10704" width="0" style="55" hidden="1" customWidth="1"/>
    <col min="10705" max="10705" width="10.42578125" style="55" customWidth="1"/>
    <col min="10706" max="10707" width="0" style="55" hidden="1" customWidth="1"/>
    <col min="10708" max="10708" width="11.140625" style="55" customWidth="1"/>
    <col min="10709" max="10710" width="0" style="55" hidden="1" customWidth="1"/>
    <col min="10711" max="10711" width="10.42578125" style="55" customWidth="1"/>
    <col min="10712" max="10713" width="0" style="55" hidden="1" customWidth="1"/>
    <col min="10714" max="10714" width="9.5703125" style="55" customWidth="1"/>
    <col min="10715" max="10716" width="0" style="55" hidden="1" customWidth="1"/>
    <col min="10717" max="10717" width="10.28515625" style="55" customWidth="1"/>
    <col min="10718" max="10719" width="0" style="55" hidden="1" customWidth="1"/>
    <col min="10720" max="10720" width="10.85546875" style="55" customWidth="1"/>
    <col min="10721" max="10722" width="0" style="55" hidden="1" customWidth="1"/>
    <col min="10723" max="10723" width="12.28515625" style="55" customWidth="1"/>
    <col min="10724" max="10725" width="0" style="55" hidden="1" customWidth="1"/>
    <col min="10726" max="10726" width="11.85546875" style="55" customWidth="1"/>
    <col min="10727" max="10728" width="0" style="55" hidden="1" customWidth="1"/>
    <col min="10729" max="10729" width="10.5703125" style="55" customWidth="1"/>
    <col min="10730" max="10731" width="0" style="55" hidden="1" customWidth="1"/>
    <col min="10732" max="10732" width="10.140625" style="55" customWidth="1"/>
    <col min="10733" max="10734" width="0" style="55" hidden="1" customWidth="1"/>
    <col min="10735" max="10735" width="10.140625" style="55" customWidth="1"/>
    <col min="10736" max="10737" width="0" style="55" hidden="1" customWidth="1"/>
    <col min="10738" max="10738" width="10.42578125" style="55" customWidth="1"/>
    <col min="10739" max="10740" width="0" style="55" hidden="1" customWidth="1"/>
    <col min="10741" max="10741" width="9.7109375" style="55" customWidth="1"/>
    <col min="10742" max="10743" width="0" style="55" hidden="1" customWidth="1"/>
    <col min="10744" max="10744" width="10" style="55" customWidth="1"/>
    <col min="10745" max="10746" width="0" style="55" hidden="1" customWidth="1"/>
    <col min="10747" max="10747" width="12.7109375" style="55" customWidth="1"/>
    <col min="10748" max="10749" width="0" style="55" hidden="1" customWidth="1"/>
    <col min="10750" max="10750" width="12.5703125" style="55" customWidth="1"/>
    <col min="10751" max="10752" width="0" style="55" hidden="1" customWidth="1"/>
    <col min="10753" max="10753" width="10.42578125" style="55" customWidth="1"/>
    <col min="10754" max="10755" width="0" style="55" hidden="1" customWidth="1"/>
    <col min="10756" max="10756" width="9.5703125" style="55" customWidth="1"/>
    <col min="10757" max="10758" width="0" style="55" hidden="1" customWidth="1"/>
    <col min="10759" max="10759" width="10.28515625" style="55" customWidth="1"/>
    <col min="10760" max="10761" width="0" style="55" hidden="1" customWidth="1"/>
    <col min="10762" max="10762" width="11" style="55" customWidth="1"/>
    <col min="10763" max="10764" width="0" style="55" hidden="1" customWidth="1"/>
    <col min="10765" max="10765" width="12.28515625" style="55" customWidth="1"/>
    <col min="10766" max="10767" width="0" style="55" hidden="1" customWidth="1"/>
    <col min="10768" max="10768" width="11.85546875" style="55" customWidth="1"/>
    <col min="10769" max="10770" width="0" style="55" hidden="1" customWidth="1"/>
    <col min="10771" max="10771" width="11" style="55" customWidth="1"/>
    <col min="10772" max="10773" width="0" style="55" hidden="1" customWidth="1"/>
    <col min="10774" max="10774" width="12.140625" style="55" customWidth="1"/>
    <col min="10775" max="10776" width="0" style="55" hidden="1" customWidth="1"/>
    <col min="10777" max="10777" width="11.28515625" style="55" customWidth="1"/>
    <col min="10778" max="10779" width="0" style="55" hidden="1" customWidth="1"/>
    <col min="10780" max="10780" width="11.28515625" style="55" customWidth="1"/>
    <col min="10781" max="10782" width="0" style="55" hidden="1" customWidth="1"/>
    <col min="10783" max="10783" width="10.5703125" style="55" customWidth="1"/>
    <col min="10784" max="10784" width="0" style="55" hidden="1" customWidth="1"/>
    <col min="10785" max="10946" width="9.140625" style="55"/>
    <col min="10947" max="10947" width="10.85546875" style="55" customWidth="1"/>
    <col min="10948" max="10948" width="35.7109375" style="55" customWidth="1"/>
    <col min="10949" max="10950" width="0" style="55" hidden="1" customWidth="1"/>
    <col min="10951" max="10951" width="21.28515625" style="55" customWidth="1"/>
    <col min="10952" max="10952" width="13.42578125" style="55" customWidth="1"/>
    <col min="10953" max="10954" width="0" style="55" hidden="1" customWidth="1"/>
    <col min="10955" max="10955" width="10.42578125" style="55" customWidth="1"/>
    <col min="10956" max="10957" width="0" style="55" hidden="1" customWidth="1"/>
    <col min="10958" max="10958" width="12.42578125" style="55" customWidth="1"/>
    <col min="10959" max="10960" width="0" style="55" hidden="1" customWidth="1"/>
    <col min="10961" max="10961" width="10.42578125" style="55" customWidth="1"/>
    <col min="10962" max="10963" width="0" style="55" hidden="1" customWidth="1"/>
    <col min="10964" max="10964" width="11.140625" style="55" customWidth="1"/>
    <col min="10965" max="10966" width="0" style="55" hidden="1" customWidth="1"/>
    <col min="10967" max="10967" width="10.42578125" style="55" customWidth="1"/>
    <col min="10968" max="10969" width="0" style="55" hidden="1" customWidth="1"/>
    <col min="10970" max="10970" width="9.5703125" style="55" customWidth="1"/>
    <col min="10971" max="10972" width="0" style="55" hidden="1" customWidth="1"/>
    <col min="10973" max="10973" width="10.28515625" style="55" customWidth="1"/>
    <col min="10974" max="10975" width="0" style="55" hidden="1" customWidth="1"/>
    <col min="10976" max="10976" width="10.85546875" style="55" customWidth="1"/>
    <col min="10977" max="10978" width="0" style="55" hidden="1" customWidth="1"/>
    <col min="10979" max="10979" width="12.28515625" style="55" customWidth="1"/>
    <col min="10980" max="10981" width="0" style="55" hidden="1" customWidth="1"/>
    <col min="10982" max="10982" width="11.85546875" style="55" customWidth="1"/>
    <col min="10983" max="10984" width="0" style="55" hidden="1" customWidth="1"/>
    <col min="10985" max="10985" width="10.5703125" style="55" customWidth="1"/>
    <col min="10986" max="10987" width="0" style="55" hidden="1" customWidth="1"/>
    <col min="10988" max="10988" width="10.140625" style="55" customWidth="1"/>
    <col min="10989" max="10990" width="0" style="55" hidden="1" customWidth="1"/>
    <col min="10991" max="10991" width="10.140625" style="55" customWidth="1"/>
    <col min="10992" max="10993" width="0" style="55" hidden="1" customWidth="1"/>
    <col min="10994" max="10994" width="10.42578125" style="55" customWidth="1"/>
    <col min="10995" max="10996" width="0" style="55" hidden="1" customWidth="1"/>
    <col min="10997" max="10997" width="9.7109375" style="55" customWidth="1"/>
    <col min="10998" max="10999" width="0" style="55" hidden="1" customWidth="1"/>
    <col min="11000" max="11000" width="10" style="55" customWidth="1"/>
    <col min="11001" max="11002" width="0" style="55" hidden="1" customWidth="1"/>
    <col min="11003" max="11003" width="12.7109375" style="55" customWidth="1"/>
    <col min="11004" max="11005" width="0" style="55" hidden="1" customWidth="1"/>
    <col min="11006" max="11006" width="12.5703125" style="55" customWidth="1"/>
    <col min="11007" max="11008" width="0" style="55" hidden="1" customWidth="1"/>
    <col min="11009" max="11009" width="10.42578125" style="55" customWidth="1"/>
    <col min="11010" max="11011" width="0" style="55" hidden="1" customWidth="1"/>
    <col min="11012" max="11012" width="9.5703125" style="55" customWidth="1"/>
    <col min="11013" max="11014" width="0" style="55" hidden="1" customWidth="1"/>
    <col min="11015" max="11015" width="10.28515625" style="55" customWidth="1"/>
    <col min="11016" max="11017" width="0" style="55" hidden="1" customWidth="1"/>
    <col min="11018" max="11018" width="11" style="55" customWidth="1"/>
    <col min="11019" max="11020" width="0" style="55" hidden="1" customWidth="1"/>
    <col min="11021" max="11021" width="12.28515625" style="55" customWidth="1"/>
    <col min="11022" max="11023" width="0" style="55" hidden="1" customWidth="1"/>
    <col min="11024" max="11024" width="11.85546875" style="55" customWidth="1"/>
    <col min="11025" max="11026" width="0" style="55" hidden="1" customWidth="1"/>
    <col min="11027" max="11027" width="11" style="55" customWidth="1"/>
    <col min="11028" max="11029" width="0" style="55" hidden="1" customWidth="1"/>
    <col min="11030" max="11030" width="12.140625" style="55" customWidth="1"/>
    <col min="11031" max="11032" width="0" style="55" hidden="1" customWidth="1"/>
    <col min="11033" max="11033" width="11.28515625" style="55" customWidth="1"/>
    <col min="11034" max="11035" width="0" style="55" hidden="1" customWidth="1"/>
    <col min="11036" max="11036" width="11.28515625" style="55" customWidth="1"/>
    <col min="11037" max="11038" width="0" style="55" hidden="1" customWidth="1"/>
    <col min="11039" max="11039" width="10.5703125" style="55" customWidth="1"/>
    <col min="11040" max="11040" width="0" style="55" hidden="1" customWidth="1"/>
    <col min="11041" max="11202" width="9.140625" style="55"/>
    <col min="11203" max="11203" width="10.85546875" style="55" customWidth="1"/>
    <col min="11204" max="11204" width="35.7109375" style="55" customWidth="1"/>
    <col min="11205" max="11206" width="0" style="55" hidden="1" customWidth="1"/>
    <col min="11207" max="11207" width="21.28515625" style="55" customWidth="1"/>
    <col min="11208" max="11208" width="13.42578125" style="55" customWidth="1"/>
    <col min="11209" max="11210" width="0" style="55" hidden="1" customWidth="1"/>
    <col min="11211" max="11211" width="10.42578125" style="55" customWidth="1"/>
    <col min="11212" max="11213" width="0" style="55" hidden="1" customWidth="1"/>
    <col min="11214" max="11214" width="12.42578125" style="55" customWidth="1"/>
    <col min="11215" max="11216" width="0" style="55" hidden="1" customWidth="1"/>
    <col min="11217" max="11217" width="10.42578125" style="55" customWidth="1"/>
    <col min="11218" max="11219" width="0" style="55" hidden="1" customWidth="1"/>
    <col min="11220" max="11220" width="11.140625" style="55" customWidth="1"/>
    <col min="11221" max="11222" width="0" style="55" hidden="1" customWidth="1"/>
    <col min="11223" max="11223" width="10.42578125" style="55" customWidth="1"/>
    <col min="11224" max="11225" width="0" style="55" hidden="1" customWidth="1"/>
    <col min="11226" max="11226" width="9.5703125" style="55" customWidth="1"/>
    <col min="11227" max="11228" width="0" style="55" hidden="1" customWidth="1"/>
    <col min="11229" max="11229" width="10.28515625" style="55" customWidth="1"/>
    <col min="11230" max="11231" width="0" style="55" hidden="1" customWidth="1"/>
    <col min="11232" max="11232" width="10.85546875" style="55" customWidth="1"/>
    <col min="11233" max="11234" width="0" style="55" hidden="1" customWidth="1"/>
    <col min="11235" max="11235" width="12.28515625" style="55" customWidth="1"/>
    <col min="11236" max="11237" width="0" style="55" hidden="1" customWidth="1"/>
    <col min="11238" max="11238" width="11.85546875" style="55" customWidth="1"/>
    <col min="11239" max="11240" width="0" style="55" hidden="1" customWidth="1"/>
    <col min="11241" max="11241" width="10.5703125" style="55" customWidth="1"/>
    <col min="11242" max="11243" width="0" style="55" hidden="1" customWidth="1"/>
    <col min="11244" max="11244" width="10.140625" style="55" customWidth="1"/>
    <col min="11245" max="11246" width="0" style="55" hidden="1" customWidth="1"/>
    <col min="11247" max="11247" width="10.140625" style="55" customWidth="1"/>
    <col min="11248" max="11249" width="0" style="55" hidden="1" customWidth="1"/>
    <col min="11250" max="11250" width="10.42578125" style="55" customWidth="1"/>
    <col min="11251" max="11252" width="0" style="55" hidden="1" customWidth="1"/>
    <col min="11253" max="11253" width="9.7109375" style="55" customWidth="1"/>
    <col min="11254" max="11255" width="0" style="55" hidden="1" customWidth="1"/>
    <col min="11256" max="11256" width="10" style="55" customWidth="1"/>
    <col min="11257" max="11258" width="0" style="55" hidden="1" customWidth="1"/>
    <col min="11259" max="11259" width="12.7109375" style="55" customWidth="1"/>
    <col min="11260" max="11261" width="0" style="55" hidden="1" customWidth="1"/>
    <col min="11262" max="11262" width="12.5703125" style="55" customWidth="1"/>
    <col min="11263" max="11264" width="0" style="55" hidden="1" customWidth="1"/>
    <col min="11265" max="11265" width="10.42578125" style="55" customWidth="1"/>
    <col min="11266" max="11267" width="0" style="55" hidden="1" customWidth="1"/>
    <col min="11268" max="11268" width="9.5703125" style="55" customWidth="1"/>
    <col min="11269" max="11270" width="0" style="55" hidden="1" customWidth="1"/>
    <col min="11271" max="11271" width="10.28515625" style="55" customWidth="1"/>
    <col min="11272" max="11273" width="0" style="55" hidden="1" customWidth="1"/>
    <col min="11274" max="11274" width="11" style="55" customWidth="1"/>
    <col min="11275" max="11276" width="0" style="55" hidden="1" customWidth="1"/>
    <col min="11277" max="11277" width="12.28515625" style="55" customWidth="1"/>
    <col min="11278" max="11279" width="0" style="55" hidden="1" customWidth="1"/>
    <col min="11280" max="11280" width="11.85546875" style="55" customWidth="1"/>
    <col min="11281" max="11282" width="0" style="55" hidden="1" customWidth="1"/>
    <col min="11283" max="11283" width="11" style="55" customWidth="1"/>
    <col min="11284" max="11285" width="0" style="55" hidden="1" customWidth="1"/>
    <col min="11286" max="11286" width="12.140625" style="55" customWidth="1"/>
    <col min="11287" max="11288" width="0" style="55" hidden="1" customWidth="1"/>
    <col min="11289" max="11289" width="11.28515625" style="55" customWidth="1"/>
    <col min="11290" max="11291" width="0" style="55" hidden="1" customWidth="1"/>
    <col min="11292" max="11292" width="11.28515625" style="55" customWidth="1"/>
    <col min="11293" max="11294" width="0" style="55" hidden="1" customWidth="1"/>
    <col min="11295" max="11295" width="10.5703125" style="55" customWidth="1"/>
    <col min="11296" max="11296" width="0" style="55" hidden="1" customWidth="1"/>
    <col min="11297" max="11458" width="9.140625" style="55"/>
    <col min="11459" max="11459" width="10.85546875" style="55" customWidth="1"/>
    <col min="11460" max="11460" width="35.7109375" style="55" customWidth="1"/>
    <col min="11461" max="11462" width="0" style="55" hidden="1" customWidth="1"/>
    <col min="11463" max="11463" width="21.28515625" style="55" customWidth="1"/>
    <col min="11464" max="11464" width="13.42578125" style="55" customWidth="1"/>
    <col min="11465" max="11466" width="0" style="55" hidden="1" customWidth="1"/>
    <col min="11467" max="11467" width="10.42578125" style="55" customWidth="1"/>
    <col min="11468" max="11469" width="0" style="55" hidden="1" customWidth="1"/>
    <col min="11470" max="11470" width="12.42578125" style="55" customWidth="1"/>
    <col min="11471" max="11472" width="0" style="55" hidden="1" customWidth="1"/>
    <col min="11473" max="11473" width="10.42578125" style="55" customWidth="1"/>
    <col min="11474" max="11475" width="0" style="55" hidden="1" customWidth="1"/>
    <col min="11476" max="11476" width="11.140625" style="55" customWidth="1"/>
    <col min="11477" max="11478" width="0" style="55" hidden="1" customWidth="1"/>
    <col min="11479" max="11479" width="10.42578125" style="55" customWidth="1"/>
    <col min="11480" max="11481" width="0" style="55" hidden="1" customWidth="1"/>
    <col min="11482" max="11482" width="9.5703125" style="55" customWidth="1"/>
    <col min="11483" max="11484" width="0" style="55" hidden="1" customWidth="1"/>
    <col min="11485" max="11485" width="10.28515625" style="55" customWidth="1"/>
    <col min="11486" max="11487" width="0" style="55" hidden="1" customWidth="1"/>
    <col min="11488" max="11488" width="10.85546875" style="55" customWidth="1"/>
    <col min="11489" max="11490" width="0" style="55" hidden="1" customWidth="1"/>
    <col min="11491" max="11491" width="12.28515625" style="55" customWidth="1"/>
    <col min="11492" max="11493" width="0" style="55" hidden="1" customWidth="1"/>
    <col min="11494" max="11494" width="11.85546875" style="55" customWidth="1"/>
    <col min="11495" max="11496" width="0" style="55" hidden="1" customWidth="1"/>
    <col min="11497" max="11497" width="10.5703125" style="55" customWidth="1"/>
    <col min="11498" max="11499" width="0" style="55" hidden="1" customWidth="1"/>
    <col min="11500" max="11500" width="10.140625" style="55" customWidth="1"/>
    <col min="11501" max="11502" width="0" style="55" hidden="1" customWidth="1"/>
    <col min="11503" max="11503" width="10.140625" style="55" customWidth="1"/>
    <col min="11504" max="11505" width="0" style="55" hidden="1" customWidth="1"/>
    <col min="11506" max="11506" width="10.42578125" style="55" customWidth="1"/>
    <col min="11507" max="11508" width="0" style="55" hidden="1" customWidth="1"/>
    <col min="11509" max="11509" width="9.7109375" style="55" customWidth="1"/>
    <col min="11510" max="11511" width="0" style="55" hidden="1" customWidth="1"/>
    <col min="11512" max="11512" width="10" style="55" customWidth="1"/>
    <col min="11513" max="11514" width="0" style="55" hidden="1" customWidth="1"/>
    <col min="11515" max="11515" width="12.7109375" style="55" customWidth="1"/>
    <col min="11516" max="11517" width="0" style="55" hidden="1" customWidth="1"/>
    <col min="11518" max="11518" width="12.5703125" style="55" customWidth="1"/>
    <col min="11519" max="11520" width="0" style="55" hidden="1" customWidth="1"/>
    <col min="11521" max="11521" width="10.42578125" style="55" customWidth="1"/>
    <col min="11522" max="11523" width="0" style="55" hidden="1" customWidth="1"/>
    <col min="11524" max="11524" width="9.5703125" style="55" customWidth="1"/>
    <col min="11525" max="11526" width="0" style="55" hidden="1" customWidth="1"/>
    <col min="11527" max="11527" width="10.28515625" style="55" customWidth="1"/>
    <col min="11528" max="11529" width="0" style="55" hidden="1" customWidth="1"/>
    <col min="11530" max="11530" width="11" style="55" customWidth="1"/>
    <col min="11531" max="11532" width="0" style="55" hidden="1" customWidth="1"/>
    <col min="11533" max="11533" width="12.28515625" style="55" customWidth="1"/>
    <col min="11534" max="11535" width="0" style="55" hidden="1" customWidth="1"/>
    <col min="11536" max="11536" width="11.85546875" style="55" customWidth="1"/>
    <col min="11537" max="11538" width="0" style="55" hidden="1" customWidth="1"/>
    <col min="11539" max="11539" width="11" style="55" customWidth="1"/>
    <col min="11540" max="11541" width="0" style="55" hidden="1" customWidth="1"/>
    <col min="11542" max="11542" width="12.140625" style="55" customWidth="1"/>
    <col min="11543" max="11544" width="0" style="55" hidden="1" customWidth="1"/>
    <col min="11545" max="11545" width="11.28515625" style="55" customWidth="1"/>
    <col min="11546" max="11547" width="0" style="55" hidden="1" customWidth="1"/>
    <col min="11548" max="11548" width="11.28515625" style="55" customWidth="1"/>
    <col min="11549" max="11550" width="0" style="55" hidden="1" customWidth="1"/>
    <col min="11551" max="11551" width="10.5703125" style="55" customWidth="1"/>
    <col min="11552" max="11552" width="0" style="55" hidden="1" customWidth="1"/>
    <col min="11553" max="11714" width="9.140625" style="55"/>
    <col min="11715" max="11715" width="10.85546875" style="55" customWidth="1"/>
    <col min="11716" max="11716" width="35.7109375" style="55" customWidth="1"/>
    <col min="11717" max="11718" width="0" style="55" hidden="1" customWidth="1"/>
    <col min="11719" max="11719" width="21.28515625" style="55" customWidth="1"/>
    <col min="11720" max="11720" width="13.42578125" style="55" customWidth="1"/>
    <col min="11721" max="11722" width="0" style="55" hidden="1" customWidth="1"/>
    <col min="11723" max="11723" width="10.42578125" style="55" customWidth="1"/>
    <col min="11724" max="11725" width="0" style="55" hidden="1" customWidth="1"/>
    <col min="11726" max="11726" width="12.42578125" style="55" customWidth="1"/>
    <col min="11727" max="11728" width="0" style="55" hidden="1" customWidth="1"/>
    <col min="11729" max="11729" width="10.42578125" style="55" customWidth="1"/>
    <col min="11730" max="11731" width="0" style="55" hidden="1" customWidth="1"/>
    <col min="11732" max="11732" width="11.140625" style="55" customWidth="1"/>
    <col min="11733" max="11734" width="0" style="55" hidden="1" customWidth="1"/>
    <col min="11735" max="11735" width="10.42578125" style="55" customWidth="1"/>
    <col min="11736" max="11737" width="0" style="55" hidden="1" customWidth="1"/>
    <col min="11738" max="11738" width="9.5703125" style="55" customWidth="1"/>
    <col min="11739" max="11740" width="0" style="55" hidden="1" customWidth="1"/>
    <col min="11741" max="11741" width="10.28515625" style="55" customWidth="1"/>
    <col min="11742" max="11743" width="0" style="55" hidden="1" customWidth="1"/>
    <col min="11744" max="11744" width="10.85546875" style="55" customWidth="1"/>
    <col min="11745" max="11746" width="0" style="55" hidden="1" customWidth="1"/>
    <col min="11747" max="11747" width="12.28515625" style="55" customWidth="1"/>
    <col min="11748" max="11749" width="0" style="55" hidden="1" customWidth="1"/>
    <col min="11750" max="11750" width="11.85546875" style="55" customWidth="1"/>
    <col min="11751" max="11752" width="0" style="55" hidden="1" customWidth="1"/>
    <col min="11753" max="11753" width="10.5703125" style="55" customWidth="1"/>
    <col min="11754" max="11755" width="0" style="55" hidden="1" customWidth="1"/>
    <col min="11756" max="11756" width="10.140625" style="55" customWidth="1"/>
    <col min="11757" max="11758" width="0" style="55" hidden="1" customWidth="1"/>
    <col min="11759" max="11759" width="10.140625" style="55" customWidth="1"/>
    <col min="11760" max="11761" width="0" style="55" hidden="1" customWidth="1"/>
    <col min="11762" max="11762" width="10.42578125" style="55" customWidth="1"/>
    <col min="11763" max="11764" width="0" style="55" hidden="1" customWidth="1"/>
    <col min="11765" max="11765" width="9.7109375" style="55" customWidth="1"/>
    <col min="11766" max="11767" width="0" style="55" hidden="1" customWidth="1"/>
    <col min="11768" max="11768" width="10" style="55" customWidth="1"/>
    <col min="11769" max="11770" width="0" style="55" hidden="1" customWidth="1"/>
    <col min="11771" max="11771" width="12.7109375" style="55" customWidth="1"/>
    <col min="11772" max="11773" width="0" style="55" hidden="1" customWidth="1"/>
    <col min="11774" max="11774" width="12.5703125" style="55" customWidth="1"/>
    <col min="11775" max="11776" width="0" style="55" hidden="1" customWidth="1"/>
    <col min="11777" max="11777" width="10.42578125" style="55" customWidth="1"/>
    <col min="11778" max="11779" width="0" style="55" hidden="1" customWidth="1"/>
    <col min="11780" max="11780" width="9.5703125" style="55" customWidth="1"/>
    <col min="11781" max="11782" width="0" style="55" hidden="1" customWidth="1"/>
    <col min="11783" max="11783" width="10.28515625" style="55" customWidth="1"/>
    <col min="11784" max="11785" width="0" style="55" hidden="1" customWidth="1"/>
    <col min="11786" max="11786" width="11" style="55" customWidth="1"/>
    <col min="11787" max="11788" width="0" style="55" hidden="1" customWidth="1"/>
    <col min="11789" max="11789" width="12.28515625" style="55" customWidth="1"/>
    <col min="11790" max="11791" width="0" style="55" hidden="1" customWidth="1"/>
    <col min="11792" max="11792" width="11.85546875" style="55" customWidth="1"/>
    <col min="11793" max="11794" width="0" style="55" hidden="1" customWidth="1"/>
    <col min="11795" max="11795" width="11" style="55" customWidth="1"/>
    <col min="11796" max="11797" width="0" style="55" hidden="1" customWidth="1"/>
    <col min="11798" max="11798" width="12.140625" style="55" customWidth="1"/>
    <col min="11799" max="11800" width="0" style="55" hidden="1" customWidth="1"/>
    <col min="11801" max="11801" width="11.28515625" style="55" customWidth="1"/>
    <col min="11802" max="11803" width="0" style="55" hidden="1" customWidth="1"/>
    <col min="11804" max="11804" width="11.28515625" style="55" customWidth="1"/>
    <col min="11805" max="11806" width="0" style="55" hidden="1" customWidth="1"/>
    <col min="11807" max="11807" width="10.5703125" style="55" customWidth="1"/>
    <col min="11808" max="11808" width="0" style="55" hidden="1" customWidth="1"/>
    <col min="11809" max="11970" width="9.140625" style="55"/>
    <col min="11971" max="11971" width="10.85546875" style="55" customWidth="1"/>
    <col min="11972" max="11972" width="35.7109375" style="55" customWidth="1"/>
    <col min="11973" max="11974" width="0" style="55" hidden="1" customWidth="1"/>
    <col min="11975" max="11975" width="21.28515625" style="55" customWidth="1"/>
    <col min="11976" max="11976" width="13.42578125" style="55" customWidth="1"/>
    <col min="11977" max="11978" width="0" style="55" hidden="1" customWidth="1"/>
    <col min="11979" max="11979" width="10.42578125" style="55" customWidth="1"/>
    <col min="11980" max="11981" width="0" style="55" hidden="1" customWidth="1"/>
    <col min="11982" max="11982" width="12.42578125" style="55" customWidth="1"/>
    <col min="11983" max="11984" width="0" style="55" hidden="1" customWidth="1"/>
    <col min="11985" max="11985" width="10.42578125" style="55" customWidth="1"/>
    <col min="11986" max="11987" width="0" style="55" hidden="1" customWidth="1"/>
    <col min="11988" max="11988" width="11.140625" style="55" customWidth="1"/>
    <col min="11989" max="11990" width="0" style="55" hidden="1" customWidth="1"/>
    <col min="11991" max="11991" width="10.42578125" style="55" customWidth="1"/>
    <col min="11992" max="11993" width="0" style="55" hidden="1" customWidth="1"/>
    <col min="11994" max="11994" width="9.5703125" style="55" customWidth="1"/>
    <col min="11995" max="11996" width="0" style="55" hidden="1" customWidth="1"/>
    <col min="11997" max="11997" width="10.28515625" style="55" customWidth="1"/>
    <col min="11998" max="11999" width="0" style="55" hidden="1" customWidth="1"/>
    <col min="12000" max="12000" width="10.85546875" style="55" customWidth="1"/>
    <col min="12001" max="12002" width="0" style="55" hidden="1" customWidth="1"/>
    <col min="12003" max="12003" width="12.28515625" style="55" customWidth="1"/>
    <col min="12004" max="12005" width="0" style="55" hidden="1" customWidth="1"/>
    <col min="12006" max="12006" width="11.85546875" style="55" customWidth="1"/>
    <col min="12007" max="12008" width="0" style="55" hidden="1" customWidth="1"/>
    <col min="12009" max="12009" width="10.5703125" style="55" customWidth="1"/>
    <col min="12010" max="12011" width="0" style="55" hidden="1" customWidth="1"/>
    <col min="12012" max="12012" width="10.140625" style="55" customWidth="1"/>
    <col min="12013" max="12014" width="0" style="55" hidden="1" customWidth="1"/>
    <col min="12015" max="12015" width="10.140625" style="55" customWidth="1"/>
    <col min="12016" max="12017" width="0" style="55" hidden="1" customWidth="1"/>
    <col min="12018" max="12018" width="10.42578125" style="55" customWidth="1"/>
    <col min="12019" max="12020" width="0" style="55" hidden="1" customWidth="1"/>
    <col min="12021" max="12021" width="9.7109375" style="55" customWidth="1"/>
    <col min="12022" max="12023" width="0" style="55" hidden="1" customWidth="1"/>
    <col min="12024" max="12024" width="10" style="55" customWidth="1"/>
    <col min="12025" max="12026" width="0" style="55" hidden="1" customWidth="1"/>
    <col min="12027" max="12027" width="12.7109375" style="55" customWidth="1"/>
    <col min="12028" max="12029" width="0" style="55" hidden="1" customWidth="1"/>
    <col min="12030" max="12030" width="12.5703125" style="55" customWidth="1"/>
    <col min="12031" max="12032" width="0" style="55" hidden="1" customWidth="1"/>
    <col min="12033" max="12033" width="10.42578125" style="55" customWidth="1"/>
    <col min="12034" max="12035" width="0" style="55" hidden="1" customWidth="1"/>
    <col min="12036" max="12036" width="9.5703125" style="55" customWidth="1"/>
    <col min="12037" max="12038" width="0" style="55" hidden="1" customWidth="1"/>
    <col min="12039" max="12039" width="10.28515625" style="55" customWidth="1"/>
    <col min="12040" max="12041" width="0" style="55" hidden="1" customWidth="1"/>
    <col min="12042" max="12042" width="11" style="55" customWidth="1"/>
    <col min="12043" max="12044" width="0" style="55" hidden="1" customWidth="1"/>
    <col min="12045" max="12045" width="12.28515625" style="55" customWidth="1"/>
    <col min="12046" max="12047" width="0" style="55" hidden="1" customWidth="1"/>
    <col min="12048" max="12048" width="11.85546875" style="55" customWidth="1"/>
    <col min="12049" max="12050" width="0" style="55" hidden="1" customWidth="1"/>
    <col min="12051" max="12051" width="11" style="55" customWidth="1"/>
    <col min="12052" max="12053" width="0" style="55" hidden="1" customWidth="1"/>
    <col min="12054" max="12054" width="12.140625" style="55" customWidth="1"/>
    <col min="12055" max="12056" width="0" style="55" hidden="1" customWidth="1"/>
    <col min="12057" max="12057" width="11.28515625" style="55" customWidth="1"/>
    <col min="12058" max="12059" width="0" style="55" hidden="1" customWidth="1"/>
    <col min="12060" max="12060" width="11.28515625" style="55" customWidth="1"/>
    <col min="12061" max="12062" width="0" style="55" hidden="1" customWidth="1"/>
    <col min="12063" max="12063" width="10.5703125" style="55" customWidth="1"/>
    <col min="12064" max="12064" width="0" style="55" hidden="1" customWidth="1"/>
    <col min="12065" max="12226" width="9.140625" style="55"/>
    <col min="12227" max="12227" width="10.85546875" style="55" customWidth="1"/>
    <col min="12228" max="12228" width="35.7109375" style="55" customWidth="1"/>
    <col min="12229" max="12230" width="0" style="55" hidden="1" customWidth="1"/>
    <col min="12231" max="12231" width="21.28515625" style="55" customWidth="1"/>
    <col min="12232" max="12232" width="13.42578125" style="55" customWidth="1"/>
    <col min="12233" max="12234" width="0" style="55" hidden="1" customWidth="1"/>
    <col min="12235" max="12235" width="10.42578125" style="55" customWidth="1"/>
    <col min="12236" max="12237" width="0" style="55" hidden="1" customWidth="1"/>
    <col min="12238" max="12238" width="12.42578125" style="55" customWidth="1"/>
    <col min="12239" max="12240" width="0" style="55" hidden="1" customWidth="1"/>
    <col min="12241" max="12241" width="10.42578125" style="55" customWidth="1"/>
    <col min="12242" max="12243" width="0" style="55" hidden="1" customWidth="1"/>
    <col min="12244" max="12244" width="11.140625" style="55" customWidth="1"/>
    <col min="12245" max="12246" width="0" style="55" hidden="1" customWidth="1"/>
    <col min="12247" max="12247" width="10.42578125" style="55" customWidth="1"/>
    <col min="12248" max="12249" width="0" style="55" hidden="1" customWidth="1"/>
    <col min="12250" max="12250" width="9.5703125" style="55" customWidth="1"/>
    <col min="12251" max="12252" width="0" style="55" hidden="1" customWidth="1"/>
    <col min="12253" max="12253" width="10.28515625" style="55" customWidth="1"/>
    <col min="12254" max="12255" width="0" style="55" hidden="1" customWidth="1"/>
    <col min="12256" max="12256" width="10.85546875" style="55" customWidth="1"/>
    <col min="12257" max="12258" width="0" style="55" hidden="1" customWidth="1"/>
    <col min="12259" max="12259" width="12.28515625" style="55" customWidth="1"/>
    <col min="12260" max="12261" width="0" style="55" hidden="1" customWidth="1"/>
    <col min="12262" max="12262" width="11.85546875" style="55" customWidth="1"/>
    <col min="12263" max="12264" width="0" style="55" hidden="1" customWidth="1"/>
    <col min="12265" max="12265" width="10.5703125" style="55" customWidth="1"/>
    <col min="12266" max="12267" width="0" style="55" hidden="1" customWidth="1"/>
    <col min="12268" max="12268" width="10.140625" style="55" customWidth="1"/>
    <col min="12269" max="12270" width="0" style="55" hidden="1" customWidth="1"/>
    <col min="12271" max="12271" width="10.140625" style="55" customWidth="1"/>
    <col min="12272" max="12273" width="0" style="55" hidden="1" customWidth="1"/>
    <col min="12274" max="12274" width="10.42578125" style="55" customWidth="1"/>
    <col min="12275" max="12276" width="0" style="55" hidden="1" customWidth="1"/>
    <col min="12277" max="12277" width="9.7109375" style="55" customWidth="1"/>
    <col min="12278" max="12279" width="0" style="55" hidden="1" customWidth="1"/>
    <col min="12280" max="12280" width="10" style="55" customWidth="1"/>
    <col min="12281" max="12282" width="0" style="55" hidden="1" customWidth="1"/>
    <col min="12283" max="12283" width="12.7109375" style="55" customWidth="1"/>
    <col min="12284" max="12285" width="0" style="55" hidden="1" customWidth="1"/>
    <col min="12286" max="12286" width="12.5703125" style="55" customWidth="1"/>
    <col min="12287" max="12288" width="0" style="55" hidden="1" customWidth="1"/>
    <col min="12289" max="12289" width="10.42578125" style="55" customWidth="1"/>
    <col min="12290" max="12291" width="0" style="55" hidden="1" customWidth="1"/>
    <col min="12292" max="12292" width="9.5703125" style="55" customWidth="1"/>
    <col min="12293" max="12294" width="0" style="55" hidden="1" customWidth="1"/>
    <col min="12295" max="12295" width="10.28515625" style="55" customWidth="1"/>
    <col min="12296" max="12297" width="0" style="55" hidden="1" customWidth="1"/>
    <col min="12298" max="12298" width="11" style="55" customWidth="1"/>
    <col min="12299" max="12300" width="0" style="55" hidden="1" customWidth="1"/>
    <col min="12301" max="12301" width="12.28515625" style="55" customWidth="1"/>
    <col min="12302" max="12303" width="0" style="55" hidden="1" customWidth="1"/>
    <col min="12304" max="12304" width="11.85546875" style="55" customWidth="1"/>
    <col min="12305" max="12306" width="0" style="55" hidden="1" customWidth="1"/>
    <col min="12307" max="12307" width="11" style="55" customWidth="1"/>
    <col min="12308" max="12309" width="0" style="55" hidden="1" customWidth="1"/>
    <col min="12310" max="12310" width="12.140625" style="55" customWidth="1"/>
    <col min="12311" max="12312" width="0" style="55" hidden="1" customWidth="1"/>
    <col min="12313" max="12313" width="11.28515625" style="55" customWidth="1"/>
    <col min="12314" max="12315" width="0" style="55" hidden="1" customWidth="1"/>
    <col min="12316" max="12316" width="11.28515625" style="55" customWidth="1"/>
    <col min="12317" max="12318" width="0" style="55" hidden="1" customWidth="1"/>
    <col min="12319" max="12319" width="10.5703125" style="55" customWidth="1"/>
    <col min="12320" max="12320" width="0" style="55" hidden="1" customWidth="1"/>
    <col min="12321" max="12482" width="9.140625" style="55"/>
    <col min="12483" max="12483" width="10.85546875" style="55" customWidth="1"/>
    <col min="12484" max="12484" width="35.7109375" style="55" customWidth="1"/>
    <col min="12485" max="12486" width="0" style="55" hidden="1" customWidth="1"/>
    <col min="12487" max="12487" width="21.28515625" style="55" customWidth="1"/>
    <col min="12488" max="12488" width="13.42578125" style="55" customWidth="1"/>
    <col min="12489" max="12490" width="0" style="55" hidden="1" customWidth="1"/>
    <col min="12491" max="12491" width="10.42578125" style="55" customWidth="1"/>
    <col min="12492" max="12493" width="0" style="55" hidden="1" customWidth="1"/>
    <col min="12494" max="12494" width="12.42578125" style="55" customWidth="1"/>
    <col min="12495" max="12496" width="0" style="55" hidden="1" customWidth="1"/>
    <col min="12497" max="12497" width="10.42578125" style="55" customWidth="1"/>
    <col min="12498" max="12499" width="0" style="55" hidden="1" customWidth="1"/>
    <col min="12500" max="12500" width="11.140625" style="55" customWidth="1"/>
    <col min="12501" max="12502" width="0" style="55" hidden="1" customWidth="1"/>
    <col min="12503" max="12503" width="10.42578125" style="55" customWidth="1"/>
    <col min="12504" max="12505" width="0" style="55" hidden="1" customWidth="1"/>
    <col min="12506" max="12506" width="9.5703125" style="55" customWidth="1"/>
    <col min="12507" max="12508" width="0" style="55" hidden="1" customWidth="1"/>
    <col min="12509" max="12509" width="10.28515625" style="55" customWidth="1"/>
    <col min="12510" max="12511" width="0" style="55" hidden="1" customWidth="1"/>
    <col min="12512" max="12512" width="10.85546875" style="55" customWidth="1"/>
    <col min="12513" max="12514" width="0" style="55" hidden="1" customWidth="1"/>
    <col min="12515" max="12515" width="12.28515625" style="55" customWidth="1"/>
    <col min="12516" max="12517" width="0" style="55" hidden="1" customWidth="1"/>
    <col min="12518" max="12518" width="11.85546875" style="55" customWidth="1"/>
    <col min="12519" max="12520" width="0" style="55" hidden="1" customWidth="1"/>
    <col min="12521" max="12521" width="10.5703125" style="55" customWidth="1"/>
    <col min="12522" max="12523" width="0" style="55" hidden="1" customWidth="1"/>
    <col min="12524" max="12524" width="10.140625" style="55" customWidth="1"/>
    <col min="12525" max="12526" width="0" style="55" hidden="1" customWidth="1"/>
    <col min="12527" max="12527" width="10.140625" style="55" customWidth="1"/>
    <col min="12528" max="12529" width="0" style="55" hidden="1" customWidth="1"/>
    <col min="12530" max="12530" width="10.42578125" style="55" customWidth="1"/>
    <col min="12531" max="12532" width="0" style="55" hidden="1" customWidth="1"/>
    <col min="12533" max="12533" width="9.7109375" style="55" customWidth="1"/>
    <col min="12534" max="12535" width="0" style="55" hidden="1" customWidth="1"/>
    <col min="12536" max="12536" width="10" style="55" customWidth="1"/>
    <col min="12537" max="12538" width="0" style="55" hidden="1" customWidth="1"/>
    <col min="12539" max="12539" width="12.7109375" style="55" customWidth="1"/>
    <col min="12540" max="12541" width="0" style="55" hidden="1" customWidth="1"/>
    <col min="12542" max="12542" width="12.5703125" style="55" customWidth="1"/>
    <col min="12543" max="12544" width="0" style="55" hidden="1" customWidth="1"/>
    <col min="12545" max="12545" width="10.42578125" style="55" customWidth="1"/>
    <col min="12546" max="12547" width="0" style="55" hidden="1" customWidth="1"/>
    <col min="12548" max="12548" width="9.5703125" style="55" customWidth="1"/>
    <col min="12549" max="12550" width="0" style="55" hidden="1" customWidth="1"/>
    <col min="12551" max="12551" width="10.28515625" style="55" customWidth="1"/>
    <col min="12552" max="12553" width="0" style="55" hidden="1" customWidth="1"/>
    <col min="12554" max="12554" width="11" style="55" customWidth="1"/>
    <col min="12555" max="12556" width="0" style="55" hidden="1" customWidth="1"/>
    <col min="12557" max="12557" width="12.28515625" style="55" customWidth="1"/>
    <col min="12558" max="12559" width="0" style="55" hidden="1" customWidth="1"/>
    <col min="12560" max="12560" width="11.85546875" style="55" customWidth="1"/>
    <col min="12561" max="12562" width="0" style="55" hidden="1" customWidth="1"/>
    <col min="12563" max="12563" width="11" style="55" customWidth="1"/>
    <col min="12564" max="12565" width="0" style="55" hidden="1" customWidth="1"/>
    <col min="12566" max="12566" width="12.140625" style="55" customWidth="1"/>
    <col min="12567" max="12568" width="0" style="55" hidden="1" customWidth="1"/>
    <col min="12569" max="12569" width="11.28515625" style="55" customWidth="1"/>
    <col min="12570" max="12571" width="0" style="55" hidden="1" customWidth="1"/>
    <col min="12572" max="12572" width="11.28515625" style="55" customWidth="1"/>
    <col min="12573" max="12574" width="0" style="55" hidden="1" customWidth="1"/>
    <col min="12575" max="12575" width="10.5703125" style="55" customWidth="1"/>
    <col min="12576" max="12576" width="0" style="55" hidden="1" customWidth="1"/>
    <col min="12577" max="12738" width="9.140625" style="55"/>
    <col min="12739" max="12739" width="10.85546875" style="55" customWidth="1"/>
    <col min="12740" max="12740" width="35.7109375" style="55" customWidth="1"/>
    <col min="12741" max="12742" width="0" style="55" hidden="1" customWidth="1"/>
    <col min="12743" max="12743" width="21.28515625" style="55" customWidth="1"/>
    <col min="12744" max="12744" width="13.42578125" style="55" customWidth="1"/>
    <col min="12745" max="12746" width="0" style="55" hidden="1" customWidth="1"/>
    <col min="12747" max="12747" width="10.42578125" style="55" customWidth="1"/>
    <col min="12748" max="12749" width="0" style="55" hidden="1" customWidth="1"/>
    <col min="12750" max="12750" width="12.42578125" style="55" customWidth="1"/>
    <col min="12751" max="12752" width="0" style="55" hidden="1" customWidth="1"/>
    <col min="12753" max="12753" width="10.42578125" style="55" customWidth="1"/>
    <col min="12754" max="12755" width="0" style="55" hidden="1" customWidth="1"/>
    <col min="12756" max="12756" width="11.140625" style="55" customWidth="1"/>
    <col min="12757" max="12758" width="0" style="55" hidden="1" customWidth="1"/>
    <col min="12759" max="12759" width="10.42578125" style="55" customWidth="1"/>
    <col min="12760" max="12761" width="0" style="55" hidden="1" customWidth="1"/>
    <col min="12762" max="12762" width="9.5703125" style="55" customWidth="1"/>
    <col min="12763" max="12764" width="0" style="55" hidden="1" customWidth="1"/>
    <col min="12765" max="12765" width="10.28515625" style="55" customWidth="1"/>
    <col min="12766" max="12767" width="0" style="55" hidden="1" customWidth="1"/>
    <col min="12768" max="12768" width="10.85546875" style="55" customWidth="1"/>
    <col min="12769" max="12770" width="0" style="55" hidden="1" customWidth="1"/>
    <col min="12771" max="12771" width="12.28515625" style="55" customWidth="1"/>
    <col min="12772" max="12773" width="0" style="55" hidden="1" customWidth="1"/>
    <col min="12774" max="12774" width="11.85546875" style="55" customWidth="1"/>
    <col min="12775" max="12776" width="0" style="55" hidden="1" customWidth="1"/>
    <col min="12777" max="12777" width="10.5703125" style="55" customWidth="1"/>
    <col min="12778" max="12779" width="0" style="55" hidden="1" customWidth="1"/>
    <col min="12780" max="12780" width="10.140625" style="55" customWidth="1"/>
    <col min="12781" max="12782" width="0" style="55" hidden="1" customWidth="1"/>
    <col min="12783" max="12783" width="10.140625" style="55" customWidth="1"/>
    <col min="12784" max="12785" width="0" style="55" hidden="1" customWidth="1"/>
    <col min="12786" max="12786" width="10.42578125" style="55" customWidth="1"/>
    <col min="12787" max="12788" width="0" style="55" hidden="1" customWidth="1"/>
    <col min="12789" max="12789" width="9.7109375" style="55" customWidth="1"/>
    <col min="12790" max="12791" width="0" style="55" hidden="1" customWidth="1"/>
    <col min="12792" max="12792" width="10" style="55" customWidth="1"/>
    <col min="12793" max="12794" width="0" style="55" hidden="1" customWidth="1"/>
    <col min="12795" max="12795" width="12.7109375" style="55" customWidth="1"/>
    <col min="12796" max="12797" width="0" style="55" hidden="1" customWidth="1"/>
    <col min="12798" max="12798" width="12.5703125" style="55" customWidth="1"/>
    <col min="12799" max="12800" width="0" style="55" hidden="1" customWidth="1"/>
    <col min="12801" max="12801" width="10.42578125" style="55" customWidth="1"/>
    <col min="12802" max="12803" width="0" style="55" hidden="1" customWidth="1"/>
    <col min="12804" max="12804" width="9.5703125" style="55" customWidth="1"/>
    <col min="12805" max="12806" width="0" style="55" hidden="1" customWidth="1"/>
    <col min="12807" max="12807" width="10.28515625" style="55" customWidth="1"/>
    <col min="12808" max="12809" width="0" style="55" hidden="1" customWidth="1"/>
    <col min="12810" max="12810" width="11" style="55" customWidth="1"/>
    <col min="12811" max="12812" width="0" style="55" hidden="1" customWidth="1"/>
    <col min="12813" max="12813" width="12.28515625" style="55" customWidth="1"/>
    <col min="12814" max="12815" width="0" style="55" hidden="1" customWidth="1"/>
    <col min="12816" max="12816" width="11.85546875" style="55" customWidth="1"/>
    <col min="12817" max="12818" width="0" style="55" hidden="1" customWidth="1"/>
    <col min="12819" max="12819" width="11" style="55" customWidth="1"/>
    <col min="12820" max="12821" width="0" style="55" hidden="1" customWidth="1"/>
    <col min="12822" max="12822" width="12.140625" style="55" customWidth="1"/>
    <col min="12823" max="12824" width="0" style="55" hidden="1" customWidth="1"/>
    <col min="12825" max="12825" width="11.28515625" style="55" customWidth="1"/>
    <col min="12826" max="12827" width="0" style="55" hidden="1" customWidth="1"/>
    <col min="12828" max="12828" width="11.28515625" style="55" customWidth="1"/>
    <col min="12829" max="12830" width="0" style="55" hidden="1" customWidth="1"/>
    <col min="12831" max="12831" width="10.5703125" style="55" customWidth="1"/>
    <col min="12832" max="12832" width="0" style="55" hidden="1" customWidth="1"/>
    <col min="12833" max="12994" width="9.140625" style="55"/>
    <col min="12995" max="12995" width="10.85546875" style="55" customWidth="1"/>
    <col min="12996" max="12996" width="35.7109375" style="55" customWidth="1"/>
    <col min="12997" max="12998" width="0" style="55" hidden="1" customWidth="1"/>
    <col min="12999" max="12999" width="21.28515625" style="55" customWidth="1"/>
    <col min="13000" max="13000" width="13.42578125" style="55" customWidth="1"/>
    <col min="13001" max="13002" width="0" style="55" hidden="1" customWidth="1"/>
    <col min="13003" max="13003" width="10.42578125" style="55" customWidth="1"/>
    <col min="13004" max="13005" width="0" style="55" hidden="1" customWidth="1"/>
    <col min="13006" max="13006" width="12.42578125" style="55" customWidth="1"/>
    <col min="13007" max="13008" width="0" style="55" hidden="1" customWidth="1"/>
    <col min="13009" max="13009" width="10.42578125" style="55" customWidth="1"/>
    <col min="13010" max="13011" width="0" style="55" hidden="1" customWidth="1"/>
    <col min="13012" max="13012" width="11.140625" style="55" customWidth="1"/>
    <col min="13013" max="13014" width="0" style="55" hidden="1" customWidth="1"/>
    <col min="13015" max="13015" width="10.42578125" style="55" customWidth="1"/>
    <col min="13016" max="13017" width="0" style="55" hidden="1" customWidth="1"/>
    <col min="13018" max="13018" width="9.5703125" style="55" customWidth="1"/>
    <col min="13019" max="13020" width="0" style="55" hidden="1" customWidth="1"/>
    <col min="13021" max="13021" width="10.28515625" style="55" customWidth="1"/>
    <col min="13022" max="13023" width="0" style="55" hidden="1" customWidth="1"/>
    <col min="13024" max="13024" width="10.85546875" style="55" customWidth="1"/>
    <col min="13025" max="13026" width="0" style="55" hidden="1" customWidth="1"/>
    <col min="13027" max="13027" width="12.28515625" style="55" customWidth="1"/>
    <col min="13028" max="13029" width="0" style="55" hidden="1" customWidth="1"/>
    <col min="13030" max="13030" width="11.85546875" style="55" customWidth="1"/>
    <col min="13031" max="13032" width="0" style="55" hidden="1" customWidth="1"/>
    <col min="13033" max="13033" width="10.5703125" style="55" customWidth="1"/>
    <col min="13034" max="13035" width="0" style="55" hidden="1" customWidth="1"/>
    <col min="13036" max="13036" width="10.140625" style="55" customWidth="1"/>
    <col min="13037" max="13038" width="0" style="55" hidden="1" customWidth="1"/>
    <col min="13039" max="13039" width="10.140625" style="55" customWidth="1"/>
    <col min="13040" max="13041" width="0" style="55" hidden="1" customWidth="1"/>
    <col min="13042" max="13042" width="10.42578125" style="55" customWidth="1"/>
    <col min="13043" max="13044" width="0" style="55" hidden="1" customWidth="1"/>
    <col min="13045" max="13045" width="9.7109375" style="55" customWidth="1"/>
    <col min="13046" max="13047" width="0" style="55" hidden="1" customWidth="1"/>
    <col min="13048" max="13048" width="10" style="55" customWidth="1"/>
    <col min="13049" max="13050" width="0" style="55" hidden="1" customWidth="1"/>
    <col min="13051" max="13051" width="12.7109375" style="55" customWidth="1"/>
    <col min="13052" max="13053" width="0" style="55" hidden="1" customWidth="1"/>
    <col min="13054" max="13054" width="12.5703125" style="55" customWidth="1"/>
    <col min="13055" max="13056" width="0" style="55" hidden="1" customWidth="1"/>
    <col min="13057" max="13057" width="10.42578125" style="55" customWidth="1"/>
    <col min="13058" max="13059" width="0" style="55" hidden="1" customWidth="1"/>
    <col min="13060" max="13060" width="9.5703125" style="55" customWidth="1"/>
    <col min="13061" max="13062" width="0" style="55" hidden="1" customWidth="1"/>
    <col min="13063" max="13063" width="10.28515625" style="55" customWidth="1"/>
    <col min="13064" max="13065" width="0" style="55" hidden="1" customWidth="1"/>
    <col min="13066" max="13066" width="11" style="55" customWidth="1"/>
    <col min="13067" max="13068" width="0" style="55" hidden="1" customWidth="1"/>
    <col min="13069" max="13069" width="12.28515625" style="55" customWidth="1"/>
    <col min="13070" max="13071" width="0" style="55" hidden="1" customWidth="1"/>
    <col min="13072" max="13072" width="11.85546875" style="55" customWidth="1"/>
    <col min="13073" max="13074" width="0" style="55" hidden="1" customWidth="1"/>
    <col min="13075" max="13075" width="11" style="55" customWidth="1"/>
    <col min="13076" max="13077" width="0" style="55" hidden="1" customWidth="1"/>
    <col min="13078" max="13078" width="12.140625" style="55" customWidth="1"/>
    <col min="13079" max="13080" width="0" style="55" hidden="1" customWidth="1"/>
    <col min="13081" max="13081" width="11.28515625" style="55" customWidth="1"/>
    <col min="13082" max="13083" width="0" style="55" hidden="1" customWidth="1"/>
    <col min="13084" max="13084" width="11.28515625" style="55" customWidth="1"/>
    <col min="13085" max="13086" width="0" style="55" hidden="1" customWidth="1"/>
    <col min="13087" max="13087" width="10.5703125" style="55" customWidth="1"/>
    <col min="13088" max="13088" width="0" style="55" hidden="1" customWidth="1"/>
    <col min="13089" max="13250" width="9.140625" style="55"/>
    <col min="13251" max="13251" width="10.85546875" style="55" customWidth="1"/>
    <col min="13252" max="13252" width="35.7109375" style="55" customWidth="1"/>
    <col min="13253" max="13254" width="0" style="55" hidden="1" customWidth="1"/>
    <col min="13255" max="13255" width="21.28515625" style="55" customWidth="1"/>
    <col min="13256" max="13256" width="13.42578125" style="55" customWidth="1"/>
    <col min="13257" max="13258" width="0" style="55" hidden="1" customWidth="1"/>
    <col min="13259" max="13259" width="10.42578125" style="55" customWidth="1"/>
    <col min="13260" max="13261" width="0" style="55" hidden="1" customWidth="1"/>
    <col min="13262" max="13262" width="12.42578125" style="55" customWidth="1"/>
    <col min="13263" max="13264" width="0" style="55" hidden="1" customWidth="1"/>
    <col min="13265" max="13265" width="10.42578125" style="55" customWidth="1"/>
    <col min="13266" max="13267" width="0" style="55" hidden="1" customWidth="1"/>
    <col min="13268" max="13268" width="11.140625" style="55" customWidth="1"/>
    <col min="13269" max="13270" width="0" style="55" hidden="1" customWidth="1"/>
    <col min="13271" max="13271" width="10.42578125" style="55" customWidth="1"/>
    <col min="13272" max="13273" width="0" style="55" hidden="1" customWidth="1"/>
    <col min="13274" max="13274" width="9.5703125" style="55" customWidth="1"/>
    <col min="13275" max="13276" width="0" style="55" hidden="1" customWidth="1"/>
    <col min="13277" max="13277" width="10.28515625" style="55" customWidth="1"/>
    <col min="13278" max="13279" width="0" style="55" hidden="1" customWidth="1"/>
    <col min="13280" max="13280" width="10.85546875" style="55" customWidth="1"/>
    <col min="13281" max="13282" width="0" style="55" hidden="1" customWidth="1"/>
    <col min="13283" max="13283" width="12.28515625" style="55" customWidth="1"/>
    <col min="13284" max="13285" width="0" style="55" hidden="1" customWidth="1"/>
    <col min="13286" max="13286" width="11.85546875" style="55" customWidth="1"/>
    <col min="13287" max="13288" width="0" style="55" hidden="1" customWidth="1"/>
    <col min="13289" max="13289" width="10.5703125" style="55" customWidth="1"/>
    <col min="13290" max="13291" width="0" style="55" hidden="1" customWidth="1"/>
    <col min="13292" max="13292" width="10.140625" style="55" customWidth="1"/>
    <col min="13293" max="13294" width="0" style="55" hidden="1" customWidth="1"/>
    <col min="13295" max="13295" width="10.140625" style="55" customWidth="1"/>
    <col min="13296" max="13297" width="0" style="55" hidden="1" customWidth="1"/>
    <col min="13298" max="13298" width="10.42578125" style="55" customWidth="1"/>
    <col min="13299" max="13300" width="0" style="55" hidden="1" customWidth="1"/>
    <col min="13301" max="13301" width="9.7109375" style="55" customWidth="1"/>
    <col min="13302" max="13303" width="0" style="55" hidden="1" customWidth="1"/>
    <col min="13304" max="13304" width="10" style="55" customWidth="1"/>
    <col min="13305" max="13306" width="0" style="55" hidden="1" customWidth="1"/>
    <col min="13307" max="13307" width="12.7109375" style="55" customWidth="1"/>
    <col min="13308" max="13309" width="0" style="55" hidden="1" customWidth="1"/>
    <col min="13310" max="13310" width="12.5703125" style="55" customWidth="1"/>
    <col min="13311" max="13312" width="0" style="55" hidden="1" customWidth="1"/>
    <col min="13313" max="13313" width="10.42578125" style="55" customWidth="1"/>
    <col min="13314" max="13315" width="0" style="55" hidden="1" customWidth="1"/>
    <col min="13316" max="13316" width="9.5703125" style="55" customWidth="1"/>
    <col min="13317" max="13318" width="0" style="55" hidden="1" customWidth="1"/>
    <col min="13319" max="13319" width="10.28515625" style="55" customWidth="1"/>
    <col min="13320" max="13321" width="0" style="55" hidden="1" customWidth="1"/>
    <col min="13322" max="13322" width="11" style="55" customWidth="1"/>
    <col min="13323" max="13324" width="0" style="55" hidden="1" customWidth="1"/>
    <col min="13325" max="13325" width="12.28515625" style="55" customWidth="1"/>
    <col min="13326" max="13327" width="0" style="55" hidden="1" customWidth="1"/>
    <col min="13328" max="13328" width="11.85546875" style="55" customWidth="1"/>
    <col min="13329" max="13330" width="0" style="55" hidden="1" customWidth="1"/>
    <col min="13331" max="13331" width="11" style="55" customWidth="1"/>
    <col min="13332" max="13333" width="0" style="55" hidden="1" customWidth="1"/>
    <col min="13334" max="13334" width="12.140625" style="55" customWidth="1"/>
    <col min="13335" max="13336" width="0" style="55" hidden="1" customWidth="1"/>
    <col min="13337" max="13337" width="11.28515625" style="55" customWidth="1"/>
    <col min="13338" max="13339" width="0" style="55" hidden="1" customWidth="1"/>
    <col min="13340" max="13340" width="11.28515625" style="55" customWidth="1"/>
    <col min="13341" max="13342" width="0" style="55" hidden="1" customWidth="1"/>
    <col min="13343" max="13343" width="10.5703125" style="55" customWidth="1"/>
    <col min="13344" max="13344" width="0" style="55" hidden="1" customWidth="1"/>
    <col min="13345" max="13506" width="9.140625" style="55"/>
    <col min="13507" max="13507" width="10.85546875" style="55" customWidth="1"/>
    <col min="13508" max="13508" width="35.7109375" style="55" customWidth="1"/>
    <col min="13509" max="13510" width="0" style="55" hidden="1" customWidth="1"/>
    <col min="13511" max="13511" width="21.28515625" style="55" customWidth="1"/>
    <col min="13512" max="13512" width="13.42578125" style="55" customWidth="1"/>
    <col min="13513" max="13514" width="0" style="55" hidden="1" customWidth="1"/>
    <col min="13515" max="13515" width="10.42578125" style="55" customWidth="1"/>
    <col min="13516" max="13517" width="0" style="55" hidden="1" customWidth="1"/>
    <col min="13518" max="13518" width="12.42578125" style="55" customWidth="1"/>
    <col min="13519" max="13520" width="0" style="55" hidden="1" customWidth="1"/>
    <col min="13521" max="13521" width="10.42578125" style="55" customWidth="1"/>
    <col min="13522" max="13523" width="0" style="55" hidden="1" customWidth="1"/>
    <col min="13524" max="13524" width="11.140625" style="55" customWidth="1"/>
    <col min="13525" max="13526" width="0" style="55" hidden="1" customWidth="1"/>
    <col min="13527" max="13527" width="10.42578125" style="55" customWidth="1"/>
    <col min="13528" max="13529" width="0" style="55" hidden="1" customWidth="1"/>
    <col min="13530" max="13530" width="9.5703125" style="55" customWidth="1"/>
    <col min="13531" max="13532" width="0" style="55" hidden="1" customWidth="1"/>
    <col min="13533" max="13533" width="10.28515625" style="55" customWidth="1"/>
    <col min="13534" max="13535" width="0" style="55" hidden="1" customWidth="1"/>
    <col min="13536" max="13536" width="10.85546875" style="55" customWidth="1"/>
    <col min="13537" max="13538" width="0" style="55" hidden="1" customWidth="1"/>
    <col min="13539" max="13539" width="12.28515625" style="55" customWidth="1"/>
    <col min="13540" max="13541" width="0" style="55" hidden="1" customWidth="1"/>
    <col min="13542" max="13542" width="11.85546875" style="55" customWidth="1"/>
    <col min="13543" max="13544" width="0" style="55" hidden="1" customWidth="1"/>
    <col min="13545" max="13545" width="10.5703125" style="55" customWidth="1"/>
    <col min="13546" max="13547" width="0" style="55" hidden="1" customWidth="1"/>
    <col min="13548" max="13548" width="10.140625" style="55" customWidth="1"/>
    <col min="13549" max="13550" width="0" style="55" hidden="1" customWidth="1"/>
    <col min="13551" max="13551" width="10.140625" style="55" customWidth="1"/>
    <col min="13552" max="13553" width="0" style="55" hidden="1" customWidth="1"/>
    <col min="13554" max="13554" width="10.42578125" style="55" customWidth="1"/>
    <col min="13555" max="13556" width="0" style="55" hidden="1" customWidth="1"/>
    <col min="13557" max="13557" width="9.7109375" style="55" customWidth="1"/>
    <col min="13558" max="13559" width="0" style="55" hidden="1" customWidth="1"/>
    <col min="13560" max="13560" width="10" style="55" customWidth="1"/>
    <col min="13561" max="13562" width="0" style="55" hidden="1" customWidth="1"/>
    <col min="13563" max="13563" width="12.7109375" style="55" customWidth="1"/>
    <col min="13564" max="13565" width="0" style="55" hidden="1" customWidth="1"/>
    <col min="13566" max="13566" width="12.5703125" style="55" customWidth="1"/>
    <col min="13567" max="13568" width="0" style="55" hidden="1" customWidth="1"/>
    <col min="13569" max="13569" width="10.42578125" style="55" customWidth="1"/>
    <col min="13570" max="13571" width="0" style="55" hidden="1" customWidth="1"/>
    <col min="13572" max="13572" width="9.5703125" style="55" customWidth="1"/>
    <col min="13573" max="13574" width="0" style="55" hidden="1" customWidth="1"/>
    <col min="13575" max="13575" width="10.28515625" style="55" customWidth="1"/>
    <col min="13576" max="13577" width="0" style="55" hidden="1" customWidth="1"/>
    <col min="13578" max="13578" width="11" style="55" customWidth="1"/>
    <col min="13579" max="13580" width="0" style="55" hidden="1" customWidth="1"/>
    <col min="13581" max="13581" width="12.28515625" style="55" customWidth="1"/>
    <col min="13582" max="13583" width="0" style="55" hidden="1" customWidth="1"/>
    <col min="13584" max="13584" width="11.85546875" style="55" customWidth="1"/>
    <col min="13585" max="13586" width="0" style="55" hidden="1" customWidth="1"/>
    <col min="13587" max="13587" width="11" style="55" customWidth="1"/>
    <col min="13588" max="13589" width="0" style="55" hidden="1" customWidth="1"/>
    <col min="13590" max="13590" width="12.140625" style="55" customWidth="1"/>
    <col min="13591" max="13592" width="0" style="55" hidden="1" customWidth="1"/>
    <col min="13593" max="13593" width="11.28515625" style="55" customWidth="1"/>
    <col min="13594" max="13595" width="0" style="55" hidden="1" customWidth="1"/>
    <col min="13596" max="13596" width="11.28515625" style="55" customWidth="1"/>
    <col min="13597" max="13598" width="0" style="55" hidden="1" customWidth="1"/>
    <col min="13599" max="13599" width="10.5703125" style="55" customWidth="1"/>
    <col min="13600" max="13600" width="0" style="55" hidden="1" customWidth="1"/>
    <col min="13601" max="13762" width="9.140625" style="55"/>
    <col min="13763" max="13763" width="10.85546875" style="55" customWidth="1"/>
    <col min="13764" max="13764" width="35.7109375" style="55" customWidth="1"/>
    <col min="13765" max="13766" width="0" style="55" hidden="1" customWidth="1"/>
    <col min="13767" max="13767" width="21.28515625" style="55" customWidth="1"/>
    <col min="13768" max="13768" width="13.42578125" style="55" customWidth="1"/>
    <col min="13769" max="13770" width="0" style="55" hidden="1" customWidth="1"/>
    <col min="13771" max="13771" width="10.42578125" style="55" customWidth="1"/>
    <col min="13772" max="13773" width="0" style="55" hidden="1" customWidth="1"/>
    <col min="13774" max="13774" width="12.42578125" style="55" customWidth="1"/>
    <col min="13775" max="13776" width="0" style="55" hidden="1" customWidth="1"/>
    <col min="13777" max="13777" width="10.42578125" style="55" customWidth="1"/>
    <col min="13778" max="13779" width="0" style="55" hidden="1" customWidth="1"/>
    <col min="13780" max="13780" width="11.140625" style="55" customWidth="1"/>
    <col min="13781" max="13782" width="0" style="55" hidden="1" customWidth="1"/>
    <col min="13783" max="13783" width="10.42578125" style="55" customWidth="1"/>
    <col min="13784" max="13785" width="0" style="55" hidden="1" customWidth="1"/>
    <col min="13786" max="13786" width="9.5703125" style="55" customWidth="1"/>
    <col min="13787" max="13788" width="0" style="55" hidden="1" customWidth="1"/>
    <col min="13789" max="13789" width="10.28515625" style="55" customWidth="1"/>
    <col min="13790" max="13791" width="0" style="55" hidden="1" customWidth="1"/>
    <col min="13792" max="13792" width="10.85546875" style="55" customWidth="1"/>
    <col min="13793" max="13794" width="0" style="55" hidden="1" customWidth="1"/>
    <col min="13795" max="13795" width="12.28515625" style="55" customWidth="1"/>
    <col min="13796" max="13797" width="0" style="55" hidden="1" customWidth="1"/>
    <col min="13798" max="13798" width="11.85546875" style="55" customWidth="1"/>
    <col min="13799" max="13800" width="0" style="55" hidden="1" customWidth="1"/>
    <col min="13801" max="13801" width="10.5703125" style="55" customWidth="1"/>
    <col min="13802" max="13803" width="0" style="55" hidden="1" customWidth="1"/>
    <col min="13804" max="13804" width="10.140625" style="55" customWidth="1"/>
    <col min="13805" max="13806" width="0" style="55" hidden="1" customWidth="1"/>
    <col min="13807" max="13807" width="10.140625" style="55" customWidth="1"/>
    <col min="13808" max="13809" width="0" style="55" hidden="1" customWidth="1"/>
    <col min="13810" max="13810" width="10.42578125" style="55" customWidth="1"/>
    <col min="13811" max="13812" width="0" style="55" hidden="1" customWidth="1"/>
    <col min="13813" max="13813" width="9.7109375" style="55" customWidth="1"/>
    <col min="13814" max="13815" width="0" style="55" hidden="1" customWidth="1"/>
    <col min="13816" max="13816" width="10" style="55" customWidth="1"/>
    <col min="13817" max="13818" width="0" style="55" hidden="1" customWidth="1"/>
    <col min="13819" max="13819" width="12.7109375" style="55" customWidth="1"/>
    <col min="13820" max="13821" width="0" style="55" hidden="1" customWidth="1"/>
    <col min="13822" max="13822" width="12.5703125" style="55" customWidth="1"/>
    <col min="13823" max="13824" width="0" style="55" hidden="1" customWidth="1"/>
    <col min="13825" max="13825" width="10.42578125" style="55" customWidth="1"/>
    <col min="13826" max="13827" width="0" style="55" hidden="1" customWidth="1"/>
    <col min="13828" max="13828" width="9.5703125" style="55" customWidth="1"/>
    <col min="13829" max="13830" width="0" style="55" hidden="1" customWidth="1"/>
    <col min="13831" max="13831" width="10.28515625" style="55" customWidth="1"/>
    <col min="13832" max="13833" width="0" style="55" hidden="1" customWidth="1"/>
    <col min="13834" max="13834" width="11" style="55" customWidth="1"/>
    <col min="13835" max="13836" width="0" style="55" hidden="1" customWidth="1"/>
    <col min="13837" max="13837" width="12.28515625" style="55" customWidth="1"/>
    <col min="13838" max="13839" width="0" style="55" hidden="1" customWidth="1"/>
    <col min="13840" max="13840" width="11.85546875" style="55" customWidth="1"/>
    <col min="13841" max="13842" width="0" style="55" hidden="1" customWidth="1"/>
    <col min="13843" max="13843" width="11" style="55" customWidth="1"/>
    <col min="13844" max="13845" width="0" style="55" hidden="1" customWidth="1"/>
    <col min="13846" max="13846" width="12.140625" style="55" customWidth="1"/>
    <col min="13847" max="13848" width="0" style="55" hidden="1" customWidth="1"/>
    <col min="13849" max="13849" width="11.28515625" style="55" customWidth="1"/>
    <col min="13850" max="13851" width="0" style="55" hidden="1" customWidth="1"/>
    <col min="13852" max="13852" width="11.28515625" style="55" customWidth="1"/>
    <col min="13853" max="13854" width="0" style="55" hidden="1" customWidth="1"/>
    <col min="13855" max="13855" width="10.5703125" style="55" customWidth="1"/>
    <col min="13856" max="13856" width="0" style="55" hidden="1" customWidth="1"/>
    <col min="13857" max="14018" width="9.140625" style="55"/>
    <col min="14019" max="14019" width="10.85546875" style="55" customWidth="1"/>
    <col min="14020" max="14020" width="35.7109375" style="55" customWidth="1"/>
    <col min="14021" max="14022" width="0" style="55" hidden="1" customWidth="1"/>
    <col min="14023" max="14023" width="21.28515625" style="55" customWidth="1"/>
    <col min="14024" max="14024" width="13.42578125" style="55" customWidth="1"/>
    <col min="14025" max="14026" width="0" style="55" hidden="1" customWidth="1"/>
    <col min="14027" max="14027" width="10.42578125" style="55" customWidth="1"/>
    <col min="14028" max="14029" width="0" style="55" hidden="1" customWidth="1"/>
    <col min="14030" max="14030" width="12.42578125" style="55" customWidth="1"/>
    <col min="14031" max="14032" width="0" style="55" hidden="1" customWidth="1"/>
    <col min="14033" max="14033" width="10.42578125" style="55" customWidth="1"/>
    <col min="14034" max="14035" width="0" style="55" hidden="1" customWidth="1"/>
    <col min="14036" max="14036" width="11.140625" style="55" customWidth="1"/>
    <col min="14037" max="14038" width="0" style="55" hidden="1" customWidth="1"/>
    <col min="14039" max="14039" width="10.42578125" style="55" customWidth="1"/>
    <col min="14040" max="14041" width="0" style="55" hidden="1" customWidth="1"/>
    <col min="14042" max="14042" width="9.5703125" style="55" customWidth="1"/>
    <col min="14043" max="14044" width="0" style="55" hidden="1" customWidth="1"/>
    <col min="14045" max="14045" width="10.28515625" style="55" customWidth="1"/>
    <col min="14046" max="14047" width="0" style="55" hidden="1" customWidth="1"/>
    <col min="14048" max="14048" width="10.85546875" style="55" customWidth="1"/>
    <col min="14049" max="14050" width="0" style="55" hidden="1" customWidth="1"/>
    <col min="14051" max="14051" width="12.28515625" style="55" customWidth="1"/>
    <col min="14052" max="14053" width="0" style="55" hidden="1" customWidth="1"/>
    <col min="14054" max="14054" width="11.85546875" style="55" customWidth="1"/>
    <col min="14055" max="14056" width="0" style="55" hidden="1" customWidth="1"/>
    <col min="14057" max="14057" width="10.5703125" style="55" customWidth="1"/>
    <col min="14058" max="14059" width="0" style="55" hidden="1" customWidth="1"/>
    <col min="14060" max="14060" width="10.140625" style="55" customWidth="1"/>
    <col min="14061" max="14062" width="0" style="55" hidden="1" customWidth="1"/>
    <col min="14063" max="14063" width="10.140625" style="55" customWidth="1"/>
    <col min="14064" max="14065" width="0" style="55" hidden="1" customWidth="1"/>
    <col min="14066" max="14066" width="10.42578125" style="55" customWidth="1"/>
    <col min="14067" max="14068" width="0" style="55" hidden="1" customWidth="1"/>
    <col min="14069" max="14069" width="9.7109375" style="55" customWidth="1"/>
    <col min="14070" max="14071" width="0" style="55" hidden="1" customWidth="1"/>
    <col min="14072" max="14072" width="10" style="55" customWidth="1"/>
    <col min="14073" max="14074" width="0" style="55" hidden="1" customWidth="1"/>
    <col min="14075" max="14075" width="12.7109375" style="55" customWidth="1"/>
    <col min="14076" max="14077" width="0" style="55" hidden="1" customWidth="1"/>
    <col min="14078" max="14078" width="12.5703125" style="55" customWidth="1"/>
    <col min="14079" max="14080" width="0" style="55" hidden="1" customWidth="1"/>
    <col min="14081" max="14081" width="10.42578125" style="55" customWidth="1"/>
    <col min="14082" max="14083" width="0" style="55" hidden="1" customWidth="1"/>
    <col min="14084" max="14084" width="9.5703125" style="55" customWidth="1"/>
    <col min="14085" max="14086" width="0" style="55" hidden="1" customWidth="1"/>
    <col min="14087" max="14087" width="10.28515625" style="55" customWidth="1"/>
    <col min="14088" max="14089" width="0" style="55" hidden="1" customWidth="1"/>
    <col min="14090" max="14090" width="11" style="55" customWidth="1"/>
    <col min="14091" max="14092" width="0" style="55" hidden="1" customWidth="1"/>
    <col min="14093" max="14093" width="12.28515625" style="55" customWidth="1"/>
    <col min="14094" max="14095" width="0" style="55" hidden="1" customWidth="1"/>
    <col min="14096" max="14096" width="11.85546875" style="55" customWidth="1"/>
    <col min="14097" max="14098" width="0" style="55" hidden="1" customWidth="1"/>
    <col min="14099" max="14099" width="11" style="55" customWidth="1"/>
    <col min="14100" max="14101" width="0" style="55" hidden="1" customWidth="1"/>
    <col min="14102" max="14102" width="12.140625" style="55" customWidth="1"/>
    <col min="14103" max="14104" width="0" style="55" hidden="1" customWidth="1"/>
    <col min="14105" max="14105" width="11.28515625" style="55" customWidth="1"/>
    <col min="14106" max="14107" width="0" style="55" hidden="1" customWidth="1"/>
    <col min="14108" max="14108" width="11.28515625" style="55" customWidth="1"/>
    <col min="14109" max="14110" width="0" style="55" hidden="1" customWidth="1"/>
    <col min="14111" max="14111" width="10.5703125" style="55" customWidth="1"/>
    <col min="14112" max="14112" width="0" style="55" hidden="1" customWidth="1"/>
    <col min="14113" max="14274" width="9.140625" style="55"/>
    <col min="14275" max="14275" width="10.85546875" style="55" customWidth="1"/>
    <col min="14276" max="14276" width="35.7109375" style="55" customWidth="1"/>
    <col min="14277" max="14278" width="0" style="55" hidden="1" customWidth="1"/>
    <col min="14279" max="14279" width="21.28515625" style="55" customWidth="1"/>
    <col min="14280" max="14280" width="13.42578125" style="55" customWidth="1"/>
    <col min="14281" max="14282" width="0" style="55" hidden="1" customWidth="1"/>
    <col min="14283" max="14283" width="10.42578125" style="55" customWidth="1"/>
    <col min="14284" max="14285" width="0" style="55" hidden="1" customWidth="1"/>
    <col min="14286" max="14286" width="12.42578125" style="55" customWidth="1"/>
    <col min="14287" max="14288" width="0" style="55" hidden="1" customWidth="1"/>
    <col min="14289" max="14289" width="10.42578125" style="55" customWidth="1"/>
    <col min="14290" max="14291" width="0" style="55" hidden="1" customWidth="1"/>
    <col min="14292" max="14292" width="11.140625" style="55" customWidth="1"/>
    <col min="14293" max="14294" width="0" style="55" hidden="1" customWidth="1"/>
    <col min="14295" max="14295" width="10.42578125" style="55" customWidth="1"/>
    <col min="14296" max="14297" width="0" style="55" hidden="1" customWidth="1"/>
    <col min="14298" max="14298" width="9.5703125" style="55" customWidth="1"/>
    <col min="14299" max="14300" width="0" style="55" hidden="1" customWidth="1"/>
    <col min="14301" max="14301" width="10.28515625" style="55" customWidth="1"/>
    <col min="14302" max="14303" width="0" style="55" hidden="1" customWidth="1"/>
    <col min="14304" max="14304" width="10.85546875" style="55" customWidth="1"/>
    <col min="14305" max="14306" width="0" style="55" hidden="1" customWidth="1"/>
    <col min="14307" max="14307" width="12.28515625" style="55" customWidth="1"/>
    <col min="14308" max="14309" width="0" style="55" hidden="1" customWidth="1"/>
    <col min="14310" max="14310" width="11.85546875" style="55" customWidth="1"/>
    <col min="14311" max="14312" width="0" style="55" hidden="1" customWidth="1"/>
    <col min="14313" max="14313" width="10.5703125" style="55" customWidth="1"/>
    <col min="14314" max="14315" width="0" style="55" hidden="1" customWidth="1"/>
    <col min="14316" max="14316" width="10.140625" style="55" customWidth="1"/>
    <col min="14317" max="14318" width="0" style="55" hidden="1" customWidth="1"/>
    <col min="14319" max="14319" width="10.140625" style="55" customWidth="1"/>
    <col min="14320" max="14321" width="0" style="55" hidden="1" customWidth="1"/>
    <col min="14322" max="14322" width="10.42578125" style="55" customWidth="1"/>
    <col min="14323" max="14324" width="0" style="55" hidden="1" customWidth="1"/>
    <col min="14325" max="14325" width="9.7109375" style="55" customWidth="1"/>
    <col min="14326" max="14327" width="0" style="55" hidden="1" customWidth="1"/>
    <col min="14328" max="14328" width="10" style="55" customWidth="1"/>
    <col min="14329" max="14330" width="0" style="55" hidden="1" customWidth="1"/>
    <col min="14331" max="14331" width="12.7109375" style="55" customWidth="1"/>
    <col min="14332" max="14333" width="0" style="55" hidden="1" customWidth="1"/>
    <col min="14334" max="14334" width="12.5703125" style="55" customWidth="1"/>
    <col min="14335" max="14336" width="0" style="55" hidden="1" customWidth="1"/>
    <col min="14337" max="14337" width="10.42578125" style="55" customWidth="1"/>
    <col min="14338" max="14339" width="0" style="55" hidden="1" customWidth="1"/>
    <col min="14340" max="14340" width="9.5703125" style="55" customWidth="1"/>
    <col min="14341" max="14342" width="0" style="55" hidden="1" customWidth="1"/>
    <col min="14343" max="14343" width="10.28515625" style="55" customWidth="1"/>
    <col min="14344" max="14345" width="0" style="55" hidden="1" customWidth="1"/>
    <col min="14346" max="14346" width="11" style="55" customWidth="1"/>
    <col min="14347" max="14348" width="0" style="55" hidden="1" customWidth="1"/>
    <col min="14349" max="14349" width="12.28515625" style="55" customWidth="1"/>
    <col min="14350" max="14351" width="0" style="55" hidden="1" customWidth="1"/>
    <col min="14352" max="14352" width="11.85546875" style="55" customWidth="1"/>
    <col min="14353" max="14354" width="0" style="55" hidden="1" customWidth="1"/>
    <col min="14355" max="14355" width="11" style="55" customWidth="1"/>
    <col min="14356" max="14357" width="0" style="55" hidden="1" customWidth="1"/>
    <col min="14358" max="14358" width="12.140625" style="55" customWidth="1"/>
    <col min="14359" max="14360" width="0" style="55" hidden="1" customWidth="1"/>
    <col min="14361" max="14361" width="11.28515625" style="55" customWidth="1"/>
    <col min="14362" max="14363" width="0" style="55" hidden="1" customWidth="1"/>
    <col min="14364" max="14364" width="11.28515625" style="55" customWidth="1"/>
    <col min="14365" max="14366" width="0" style="55" hidden="1" customWidth="1"/>
    <col min="14367" max="14367" width="10.5703125" style="55" customWidth="1"/>
    <col min="14368" max="14368" width="0" style="55" hidden="1" customWidth="1"/>
    <col min="14369" max="14530" width="9.140625" style="55"/>
    <col min="14531" max="14531" width="10.85546875" style="55" customWidth="1"/>
    <col min="14532" max="14532" width="35.7109375" style="55" customWidth="1"/>
    <col min="14533" max="14534" width="0" style="55" hidden="1" customWidth="1"/>
    <col min="14535" max="14535" width="21.28515625" style="55" customWidth="1"/>
    <col min="14536" max="14536" width="13.42578125" style="55" customWidth="1"/>
    <col min="14537" max="14538" width="0" style="55" hidden="1" customWidth="1"/>
    <col min="14539" max="14539" width="10.42578125" style="55" customWidth="1"/>
    <col min="14540" max="14541" width="0" style="55" hidden="1" customWidth="1"/>
    <col min="14542" max="14542" width="12.42578125" style="55" customWidth="1"/>
    <col min="14543" max="14544" width="0" style="55" hidden="1" customWidth="1"/>
    <col min="14545" max="14545" width="10.42578125" style="55" customWidth="1"/>
    <col min="14546" max="14547" width="0" style="55" hidden="1" customWidth="1"/>
    <col min="14548" max="14548" width="11.140625" style="55" customWidth="1"/>
    <col min="14549" max="14550" width="0" style="55" hidden="1" customWidth="1"/>
    <col min="14551" max="14551" width="10.42578125" style="55" customWidth="1"/>
    <col min="14552" max="14553" width="0" style="55" hidden="1" customWidth="1"/>
    <col min="14554" max="14554" width="9.5703125" style="55" customWidth="1"/>
    <col min="14555" max="14556" width="0" style="55" hidden="1" customWidth="1"/>
    <col min="14557" max="14557" width="10.28515625" style="55" customWidth="1"/>
    <col min="14558" max="14559" width="0" style="55" hidden="1" customWidth="1"/>
    <col min="14560" max="14560" width="10.85546875" style="55" customWidth="1"/>
    <col min="14561" max="14562" width="0" style="55" hidden="1" customWidth="1"/>
    <col min="14563" max="14563" width="12.28515625" style="55" customWidth="1"/>
    <col min="14564" max="14565" width="0" style="55" hidden="1" customWidth="1"/>
    <col min="14566" max="14566" width="11.85546875" style="55" customWidth="1"/>
    <col min="14567" max="14568" width="0" style="55" hidden="1" customWidth="1"/>
    <col min="14569" max="14569" width="10.5703125" style="55" customWidth="1"/>
    <col min="14570" max="14571" width="0" style="55" hidden="1" customWidth="1"/>
    <col min="14572" max="14572" width="10.140625" style="55" customWidth="1"/>
    <col min="14573" max="14574" width="0" style="55" hidden="1" customWidth="1"/>
    <col min="14575" max="14575" width="10.140625" style="55" customWidth="1"/>
    <col min="14576" max="14577" width="0" style="55" hidden="1" customWidth="1"/>
    <col min="14578" max="14578" width="10.42578125" style="55" customWidth="1"/>
    <col min="14579" max="14580" width="0" style="55" hidden="1" customWidth="1"/>
    <col min="14581" max="14581" width="9.7109375" style="55" customWidth="1"/>
    <col min="14582" max="14583" width="0" style="55" hidden="1" customWidth="1"/>
    <col min="14584" max="14584" width="10" style="55" customWidth="1"/>
    <col min="14585" max="14586" width="0" style="55" hidden="1" customWidth="1"/>
    <col min="14587" max="14587" width="12.7109375" style="55" customWidth="1"/>
    <col min="14588" max="14589" width="0" style="55" hidden="1" customWidth="1"/>
    <col min="14590" max="14590" width="12.5703125" style="55" customWidth="1"/>
    <col min="14591" max="14592" width="0" style="55" hidden="1" customWidth="1"/>
    <col min="14593" max="14593" width="10.42578125" style="55" customWidth="1"/>
    <col min="14594" max="14595" width="0" style="55" hidden="1" customWidth="1"/>
    <col min="14596" max="14596" width="9.5703125" style="55" customWidth="1"/>
    <col min="14597" max="14598" width="0" style="55" hidden="1" customWidth="1"/>
    <col min="14599" max="14599" width="10.28515625" style="55" customWidth="1"/>
    <col min="14600" max="14601" width="0" style="55" hidden="1" customWidth="1"/>
    <col min="14602" max="14602" width="11" style="55" customWidth="1"/>
    <col min="14603" max="14604" width="0" style="55" hidden="1" customWidth="1"/>
    <col min="14605" max="14605" width="12.28515625" style="55" customWidth="1"/>
    <col min="14606" max="14607" width="0" style="55" hidden="1" customWidth="1"/>
    <col min="14608" max="14608" width="11.85546875" style="55" customWidth="1"/>
    <col min="14609" max="14610" width="0" style="55" hidden="1" customWidth="1"/>
    <col min="14611" max="14611" width="11" style="55" customWidth="1"/>
    <col min="14612" max="14613" width="0" style="55" hidden="1" customWidth="1"/>
    <col min="14614" max="14614" width="12.140625" style="55" customWidth="1"/>
    <col min="14615" max="14616" width="0" style="55" hidden="1" customWidth="1"/>
    <col min="14617" max="14617" width="11.28515625" style="55" customWidth="1"/>
    <col min="14618" max="14619" width="0" style="55" hidden="1" customWidth="1"/>
    <col min="14620" max="14620" width="11.28515625" style="55" customWidth="1"/>
    <col min="14621" max="14622" width="0" style="55" hidden="1" customWidth="1"/>
    <col min="14623" max="14623" width="10.5703125" style="55" customWidth="1"/>
    <col min="14624" max="14624" width="0" style="55" hidden="1" customWidth="1"/>
    <col min="14625" max="14786" width="9.140625" style="55"/>
    <col min="14787" max="14787" width="10.85546875" style="55" customWidth="1"/>
    <col min="14788" max="14788" width="35.7109375" style="55" customWidth="1"/>
    <col min="14789" max="14790" width="0" style="55" hidden="1" customWidth="1"/>
    <col min="14791" max="14791" width="21.28515625" style="55" customWidth="1"/>
    <col min="14792" max="14792" width="13.42578125" style="55" customWidth="1"/>
    <col min="14793" max="14794" width="0" style="55" hidden="1" customWidth="1"/>
    <col min="14795" max="14795" width="10.42578125" style="55" customWidth="1"/>
    <col min="14796" max="14797" width="0" style="55" hidden="1" customWidth="1"/>
    <col min="14798" max="14798" width="12.42578125" style="55" customWidth="1"/>
    <col min="14799" max="14800" width="0" style="55" hidden="1" customWidth="1"/>
    <col min="14801" max="14801" width="10.42578125" style="55" customWidth="1"/>
    <col min="14802" max="14803" width="0" style="55" hidden="1" customWidth="1"/>
    <col min="14804" max="14804" width="11.140625" style="55" customWidth="1"/>
    <col min="14805" max="14806" width="0" style="55" hidden="1" customWidth="1"/>
    <col min="14807" max="14807" width="10.42578125" style="55" customWidth="1"/>
    <col min="14808" max="14809" width="0" style="55" hidden="1" customWidth="1"/>
    <col min="14810" max="14810" width="9.5703125" style="55" customWidth="1"/>
    <col min="14811" max="14812" width="0" style="55" hidden="1" customWidth="1"/>
    <col min="14813" max="14813" width="10.28515625" style="55" customWidth="1"/>
    <col min="14814" max="14815" width="0" style="55" hidden="1" customWidth="1"/>
    <col min="14816" max="14816" width="10.85546875" style="55" customWidth="1"/>
    <col min="14817" max="14818" width="0" style="55" hidden="1" customWidth="1"/>
    <col min="14819" max="14819" width="12.28515625" style="55" customWidth="1"/>
    <col min="14820" max="14821" width="0" style="55" hidden="1" customWidth="1"/>
    <col min="14822" max="14822" width="11.85546875" style="55" customWidth="1"/>
    <col min="14823" max="14824" width="0" style="55" hidden="1" customWidth="1"/>
    <col min="14825" max="14825" width="10.5703125" style="55" customWidth="1"/>
    <col min="14826" max="14827" width="0" style="55" hidden="1" customWidth="1"/>
    <col min="14828" max="14828" width="10.140625" style="55" customWidth="1"/>
    <col min="14829" max="14830" width="0" style="55" hidden="1" customWidth="1"/>
    <col min="14831" max="14831" width="10.140625" style="55" customWidth="1"/>
    <col min="14832" max="14833" width="0" style="55" hidden="1" customWidth="1"/>
    <col min="14834" max="14834" width="10.42578125" style="55" customWidth="1"/>
    <col min="14835" max="14836" width="0" style="55" hidden="1" customWidth="1"/>
    <col min="14837" max="14837" width="9.7109375" style="55" customWidth="1"/>
    <col min="14838" max="14839" width="0" style="55" hidden="1" customWidth="1"/>
    <col min="14840" max="14840" width="10" style="55" customWidth="1"/>
    <col min="14841" max="14842" width="0" style="55" hidden="1" customWidth="1"/>
    <col min="14843" max="14843" width="12.7109375" style="55" customWidth="1"/>
    <col min="14844" max="14845" width="0" style="55" hidden="1" customWidth="1"/>
    <col min="14846" max="14846" width="12.5703125" style="55" customWidth="1"/>
    <col min="14847" max="14848" width="0" style="55" hidden="1" customWidth="1"/>
    <col min="14849" max="14849" width="10.42578125" style="55" customWidth="1"/>
    <col min="14850" max="14851" width="0" style="55" hidden="1" customWidth="1"/>
    <col min="14852" max="14852" width="9.5703125" style="55" customWidth="1"/>
    <col min="14853" max="14854" width="0" style="55" hidden="1" customWidth="1"/>
    <col min="14855" max="14855" width="10.28515625" style="55" customWidth="1"/>
    <col min="14856" max="14857" width="0" style="55" hidden="1" customWidth="1"/>
    <col min="14858" max="14858" width="11" style="55" customWidth="1"/>
    <col min="14859" max="14860" width="0" style="55" hidden="1" customWidth="1"/>
    <col min="14861" max="14861" width="12.28515625" style="55" customWidth="1"/>
    <col min="14862" max="14863" width="0" style="55" hidden="1" customWidth="1"/>
    <col min="14864" max="14864" width="11.85546875" style="55" customWidth="1"/>
    <col min="14865" max="14866" width="0" style="55" hidden="1" customWidth="1"/>
    <col min="14867" max="14867" width="11" style="55" customWidth="1"/>
    <col min="14868" max="14869" width="0" style="55" hidden="1" customWidth="1"/>
    <col min="14870" max="14870" width="12.140625" style="55" customWidth="1"/>
    <col min="14871" max="14872" width="0" style="55" hidden="1" customWidth="1"/>
    <col min="14873" max="14873" width="11.28515625" style="55" customWidth="1"/>
    <col min="14874" max="14875" width="0" style="55" hidden="1" customWidth="1"/>
    <col min="14876" max="14876" width="11.28515625" style="55" customWidth="1"/>
    <col min="14877" max="14878" width="0" style="55" hidden="1" customWidth="1"/>
    <col min="14879" max="14879" width="10.5703125" style="55" customWidth="1"/>
    <col min="14880" max="14880" width="0" style="55" hidden="1" customWidth="1"/>
    <col min="14881" max="15042" width="9.140625" style="55"/>
    <col min="15043" max="15043" width="10.85546875" style="55" customWidth="1"/>
    <col min="15044" max="15044" width="35.7109375" style="55" customWidth="1"/>
    <col min="15045" max="15046" width="0" style="55" hidden="1" customWidth="1"/>
    <col min="15047" max="15047" width="21.28515625" style="55" customWidth="1"/>
    <col min="15048" max="15048" width="13.42578125" style="55" customWidth="1"/>
    <col min="15049" max="15050" width="0" style="55" hidden="1" customWidth="1"/>
    <col min="15051" max="15051" width="10.42578125" style="55" customWidth="1"/>
    <col min="15052" max="15053" width="0" style="55" hidden="1" customWidth="1"/>
    <col min="15054" max="15054" width="12.42578125" style="55" customWidth="1"/>
    <col min="15055" max="15056" width="0" style="55" hidden="1" customWidth="1"/>
    <col min="15057" max="15057" width="10.42578125" style="55" customWidth="1"/>
    <col min="15058" max="15059" width="0" style="55" hidden="1" customWidth="1"/>
    <col min="15060" max="15060" width="11.140625" style="55" customWidth="1"/>
    <col min="15061" max="15062" width="0" style="55" hidden="1" customWidth="1"/>
    <col min="15063" max="15063" width="10.42578125" style="55" customWidth="1"/>
    <col min="15064" max="15065" width="0" style="55" hidden="1" customWidth="1"/>
    <col min="15066" max="15066" width="9.5703125" style="55" customWidth="1"/>
    <col min="15067" max="15068" width="0" style="55" hidden="1" customWidth="1"/>
    <col min="15069" max="15069" width="10.28515625" style="55" customWidth="1"/>
    <col min="15070" max="15071" width="0" style="55" hidden="1" customWidth="1"/>
    <col min="15072" max="15072" width="10.85546875" style="55" customWidth="1"/>
    <col min="15073" max="15074" width="0" style="55" hidden="1" customWidth="1"/>
    <col min="15075" max="15075" width="12.28515625" style="55" customWidth="1"/>
    <col min="15076" max="15077" width="0" style="55" hidden="1" customWidth="1"/>
    <col min="15078" max="15078" width="11.85546875" style="55" customWidth="1"/>
    <col min="15079" max="15080" width="0" style="55" hidden="1" customWidth="1"/>
    <col min="15081" max="15081" width="10.5703125" style="55" customWidth="1"/>
    <col min="15082" max="15083" width="0" style="55" hidden="1" customWidth="1"/>
    <col min="15084" max="15084" width="10.140625" style="55" customWidth="1"/>
    <col min="15085" max="15086" width="0" style="55" hidden="1" customWidth="1"/>
    <col min="15087" max="15087" width="10.140625" style="55" customWidth="1"/>
    <col min="15088" max="15089" width="0" style="55" hidden="1" customWidth="1"/>
    <col min="15090" max="15090" width="10.42578125" style="55" customWidth="1"/>
    <col min="15091" max="15092" width="0" style="55" hidden="1" customWidth="1"/>
    <col min="15093" max="15093" width="9.7109375" style="55" customWidth="1"/>
    <col min="15094" max="15095" width="0" style="55" hidden="1" customWidth="1"/>
    <col min="15096" max="15096" width="10" style="55" customWidth="1"/>
    <col min="15097" max="15098" width="0" style="55" hidden="1" customWidth="1"/>
    <col min="15099" max="15099" width="12.7109375" style="55" customWidth="1"/>
    <col min="15100" max="15101" width="0" style="55" hidden="1" customWidth="1"/>
    <col min="15102" max="15102" width="12.5703125" style="55" customWidth="1"/>
    <col min="15103" max="15104" width="0" style="55" hidden="1" customWidth="1"/>
    <col min="15105" max="15105" width="10.42578125" style="55" customWidth="1"/>
    <col min="15106" max="15107" width="0" style="55" hidden="1" customWidth="1"/>
    <col min="15108" max="15108" width="9.5703125" style="55" customWidth="1"/>
    <col min="15109" max="15110" width="0" style="55" hidden="1" customWidth="1"/>
    <col min="15111" max="15111" width="10.28515625" style="55" customWidth="1"/>
    <col min="15112" max="15113" width="0" style="55" hidden="1" customWidth="1"/>
    <col min="15114" max="15114" width="11" style="55" customWidth="1"/>
    <col min="15115" max="15116" width="0" style="55" hidden="1" customWidth="1"/>
    <col min="15117" max="15117" width="12.28515625" style="55" customWidth="1"/>
    <col min="15118" max="15119" width="0" style="55" hidden="1" customWidth="1"/>
    <col min="15120" max="15120" width="11.85546875" style="55" customWidth="1"/>
    <col min="15121" max="15122" width="0" style="55" hidden="1" customWidth="1"/>
    <col min="15123" max="15123" width="11" style="55" customWidth="1"/>
    <col min="15124" max="15125" width="0" style="55" hidden="1" customWidth="1"/>
    <col min="15126" max="15126" width="12.140625" style="55" customWidth="1"/>
    <col min="15127" max="15128" width="0" style="55" hidden="1" customWidth="1"/>
    <col min="15129" max="15129" width="11.28515625" style="55" customWidth="1"/>
    <col min="15130" max="15131" width="0" style="55" hidden="1" customWidth="1"/>
    <col min="15132" max="15132" width="11.28515625" style="55" customWidth="1"/>
    <col min="15133" max="15134" width="0" style="55" hidden="1" customWidth="1"/>
    <col min="15135" max="15135" width="10.5703125" style="55" customWidth="1"/>
    <col min="15136" max="15136" width="0" style="55" hidden="1" customWidth="1"/>
    <col min="15137" max="15298" width="9.140625" style="55"/>
    <col min="15299" max="15299" width="10.85546875" style="55" customWidth="1"/>
    <col min="15300" max="15300" width="35.7109375" style="55" customWidth="1"/>
    <col min="15301" max="15302" width="0" style="55" hidden="1" customWidth="1"/>
    <col min="15303" max="15303" width="21.28515625" style="55" customWidth="1"/>
    <col min="15304" max="15304" width="13.42578125" style="55" customWidth="1"/>
    <col min="15305" max="15306" width="0" style="55" hidden="1" customWidth="1"/>
    <col min="15307" max="15307" width="10.42578125" style="55" customWidth="1"/>
    <col min="15308" max="15309" width="0" style="55" hidden="1" customWidth="1"/>
    <col min="15310" max="15310" width="12.42578125" style="55" customWidth="1"/>
    <col min="15311" max="15312" width="0" style="55" hidden="1" customWidth="1"/>
    <col min="15313" max="15313" width="10.42578125" style="55" customWidth="1"/>
    <col min="15314" max="15315" width="0" style="55" hidden="1" customWidth="1"/>
    <col min="15316" max="15316" width="11.140625" style="55" customWidth="1"/>
    <col min="15317" max="15318" width="0" style="55" hidden="1" customWidth="1"/>
    <col min="15319" max="15319" width="10.42578125" style="55" customWidth="1"/>
    <col min="15320" max="15321" width="0" style="55" hidden="1" customWidth="1"/>
    <col min="15322" max="15322" width="9.5703125" style="55" customWidth="1"/>
    <col min="15323" max="15324" width="0" style="55" hidden="1" customWidth="1"/>
    <col min="15325" max="15325" width="10.28515625" style="55" customWidth="1"/>
    <col min="15326" max="15327" width="0" style="55" hidden="1" customWidth="1"/>
    <col min="15328" max="15328" width="10.85546875" style="55" customWidth="1"/>
    <col min="15329" max="15330" width="0" style="55" hidden="1" customWidth="1"/>
    <col min="15331" max="15331" width="12.28515625" style="55" customWidth="1"/>
    <col min="15332" max="15333" width="0" style="55" hidden="1" customWidth="1"/>
    <col min="15334" max="15334" width="11.85546875" style="55" customWidth="1"/>
    <col min="15335" max="15336" width="0" style="55" hidden="1" customWidth="1"/>
    <col min="15337" max="15337" width="10.5703125" style="55" customWidth="1"/>
    <col min="15338" max="15339" width="0" style="55" hidden="1" customWidth="1"/>
    <col min="15340" max="15340" width="10.140625" style="55" customWidth="1"/>
    <col min="15341" max="15342" width="0" style="55" hidden="1" customWidth="1"/>
    <col min="15343" max="15343" width="10.140625" style="55" customWidth="1"/>
    <col min="15344" max="15345" width="0" style="55" hidden="1" customWidth="1"/>
    <col min="15346" max="15346" width="10.42578125" style="55" customWidth="1"/>
    <col min="15347" max="15348" width="0" style="55" hidden="1" customWidth="1"/>
    <col min="15349" max="15349" width="9.7109375" style="55" customWidth="1"/>
    <col min="15350" max="15351" width="0" style="55" hidden="1" customWidth="1"/>
    <col min="15352" max="15352" width="10" style="55" customWidth="1"/>
    <col min="15353" max="15354" width="0" style="55" hidden="1" customWidth="1"/>
    <col min="15355" max="15355" width="12.7109375" style="55" customWidth="1"/>
    <col min="15356" max="15357" width="0" style="55" hidden="1" customWidth="1"/>
    <col min="15358" max="15358" width="12.5703125" style="55" customWidth="1"/>
    <col min="15359" max="15360" width="0" style="55" hidden="1" customWidth="1"/>
    <col min="15361" max="15361" width="10.42578125" style="55" customWidth="1"/>
    <col min="15362" max="15363" width="0" style="55" hidden="1" customWidth="1"/>
    <col min="15364" max="15364" width="9.5703125" style="55" customWidth="1"/>
    <col min="15365" max="15366" width="0" style="55" hidden="1" customWidth="1"/>
    <col min="15367" max="15367" width="10.28515625" style="55" customWidth="1"/>
    <col min="15368" max="15369" width="0" style="55" hidden="1" customWidth="1"/>
    <col min="15370" max="15370" width="11" style="55" customWidth="1"/>
    <col min="15371" max="15372" width="0" style="55" hidden="1" customWidth="1"/>
    <col min="15373" max="15373" width="12.28515625" style="55" customWidth="1"/>
    <col min="15374" max="15375" width="0" style="55" hidden="1" customWidth="1"/>
    <col min="15376" max="15376" width="11.85546875" style="55" customWidth="1"/>
    <col min="15377" max="15378" width="0" style="55" hidden="1" customWidth="1"/>
    <col min="15379" max="15379" width="11" style="55" customWidth="1"/>
    <col min="15380" max="15381" width="0" style="55" hidden="1" customWidth="1"/>
    <col min="15382" max="15382" width="12.140625" style="55" customWidth="1"/>
    <col min="15383" max="15384" width="0" style="55" hidden="1" customWidth="1"/>
    <col min="15385" max="15385" width="11.28515625" style="55" customWidth="1"/>
    <col min="15386" max="15387" width="0" style="55" hidden="1" customWidth="1"/>
    <col min="15388" max="15388" width="11.28515625" style="55" customWidth="1"/>
    <col min="15389" max="15390" width="0" style="55" hidden="1" customWidth="1"/>
    <col min="15391" max="15391" width="10.5703125" style="55" customWidth="1"/>
    <col min="15392" max="15392" width="0" style="55" hidden="1" customWidth="1"/>
    <col min="15393" max="15554" width="9.140625" style="55"/>
    <col min="15555" max="15555" width="10.85546875" style="55" customWidth="1"/>
    <col min="15556" max="15556" width="35.7109375" style="55" customWidth="1"/>
    <col min="15557" max="15558" width="0" style="55" hidden="1" customWidth="1"/>
    <col min="15559" max="15559" width="21.28515625" style="55" customWidth="1"/>
    <col min="15560" max="15560" width="13.42578125" style="55" customWidth="1"/>
    <col min="15561" max="15562" width="0" style="55" hidden="1" customWidth="1"/>
    <col min="15563" max="15563" width="10.42578125" style="55" customWidth="1"/>
    <col min="15564" max="15565" width="0" style="55" hidden="1" customWidth="1"/>
    <col min="15566" max="15566" width="12.42578125" style="55" customWidth="1"/>
    <col min="15567" max="15568" width="0" style="55" hidden="1" customWidth="1"/>
    <col min="15569" max="15569" width="10.42578125" style="55" customWidth="1"/>
    <col min="15570" max="15571" width="0" style="55" hidden="1" customWidth="1"/>
    <col min="15572" max="15572" width="11.140625" style="55" customWidth="1"/>
    <col min="15573" max="15574" width="0" style="55" hidden="1" customWidth="1"/>
    <col min="15575" max="15575" width="10.42578125" style="55" customWidth="1"/>
    <col min="15576" max="15577" width="0" style="55" hidden="1" customWidth="1"/>
    <col min="15578" max="15578" width="9.5703125" style="55" customWidth="1"/>
    <col min="15579" max="15580" width="0" style="55" hidden="1" customWidth="1"/>
    <col min="15581" max="15581" width="10.28515625" style="55" customWidth="1"/>
    <col min="15582" max="15583" width="0" style="55" hidden="1" customWidth="1"/>
    <col min="15584" max="15584" width="10.85546875" style="55" customWidth="1"/>
    <col min="15585" max="15586" width="0" style="55" hidden="1" customWidth="1"/>
    <col min="15587" max="15587" width="12.28515625" style="55" customWidth="1"/>
    <col min="15588" max="15589" width="0" style="55" hidden="1" customWidth="1"/>
    <col min="15590" max="15590" width="11.85546875" style="55" customWidth="1"/>
    <col min="15591" max="15592" width="0" style="55" hidden="1" customWidth="1"/>
    <col min="15593" max="15593" width="10.5703125" style="55" customWidth="1"/>
    <col min="15594" max="15595" width="0" style="55" hidden="1" customWidth="1"/>
    <col min="15596" max="15596" width="10.140625" style="55" customWidth="1"/>
    <col min="15597" max="15598" width="0" style="55" hidden="1" customWidth="1"/>
    <col min="15599" max="15599" width="10.140625" style="55" customWidth="1"/>
    <col min="15600" max="15601" width="0" style="55" hidden="1" customWidth="1"/>
    <col min="15602" max="15602" width="10.42578125" style="55" customWidth="1"/>
    <col min="15603" max="15604" width="0" style="55" hidden="1" customWidth="1"/>
    <col min="15605" max="15605" width="9.7109375" style="55" customWidth="1"/>
    <col min="15606" max="15607" width="0" style="55" hidden="1" customWidth="1"/>
    <col min="15608" max="15608" width="10" style="55" customWidth="1"/>
    <col min="15609" max="15610" width="0" style="55" hidden="1" customWidth="1"/>
    <col min="15611" max="15611" width="12.7109375" style="55" customWidth="1"/>
    <col min="15612" max="15613" width="0" style="55" hidden="1" customWidth="1"/>
    <col min="15614" max="15614" width="12.5703125" style="55" customWidth="1"/>
    <col min="15615" max="15616" width="0" style="55" hidden="1" customWidth="1"/>
    <col min="15617" max="15617" width="10.42578125" style="55" customWidth="1"/>
    <col min="15618" max="15619" width="0" style="55" hidden="1" customWidth="1"/>
    <col min="15620" max="15620" width="9.5703125" style="55" customWidth="1"/>
    <col min="15621" max="15622" width="0" style="55" hidden="1" customWidth="1"/>
    <col min="15623" max="15623" width="10.28515625" style="55" customWidth="1"/>
    <col min="15624" max="15625" width="0" style="55" hidden="1" customWidth="1"/>
    <col min="15626" max="15626" width="11" style="55" customWidth="1"/>
    <col min="15627" max="15628" width="0" style="55" hidden="1" customWidth="1"/>
    <col min="15629" max="15629" width="12.28515625" style="55" customWidth="1"/>
    <col min="15630" max="15631" width="0" style="55" hidden="1" customWidth="1"/>
    <col min="15632" max="15632" width="11.85546875" style="55" customWidth="1"/>
    <col min="15633" max="15634" width="0" style="55" hidden="1" customWidth="1"/>
    <col min="15635" max="15635" width="11" style="55" customWidth="1"/>
    <col min="15636" max="15637" width="0" style="55" hidden="1" customWidth="1"/>
    <col min="15638" max="15638" width="12.140625" style="55" customWidth="1"/>
    <col min="15639" max="15640" width="0" style="55" hidden="1" customWidth="1"/>
    <col min="15641" max="15641" width="11.28515625" style="55" customWidth="1"/>
    <col min="15642" max="15643" width="0" style="55" hidden="1" customWidth="1"/>
    <col min="15644" max="15644" width="11.28515625" style="55" customWidth="1"/>
    <col min="15645" max="15646" width="0" style="55" hidden="1" customWidth="1"/>
    <col min="15647" max="15647" width="10.5703125" style="55" customWidth="1"/>
    <col min="15648" max="15648" width="0" style="55" hidden="1" customWidth="1"/>
    <col min="15649" max="15810" width="9.140625" style="55"/>
    <col min="15811" max="15811" width="10.85546875" style="55" customWidth="1"/>
    <col min="15812" max="15812" width="35.7109375" style="55" customWidth="1"/>
    <col min="15813" max="15814" width="0" style="55" hidden="1" customWidth="1"/>
    <col min="15815" max="15815" width="21.28515625" style="55" customWidth="1"/>
    <col min="15816" max="15816" width="13.42578125" style="55" customWidth="1"/>
    <col min="15817" max="15818" width="0" style="55" hidden="1" customWidth="1"/>
    <col min="15819" max="15819" width="10.42578125" style="55" customWidth="1"/>
    <col min="15820" max="15821" width="0" style="55" hidden="1" customWidth="1"/>
    <col min="15822" max="15822" width="12.42578125" style="55" customWidth="1"/>
    <col min="15823" max="15824" width="0" style="55" hidden="1" customWidth="1"/>
    <col min="15825" max="15825" width="10.42578125" style="55" customWidth="1"/>
    <col min="15826" max="15827" width="0" style="55" hidden="1" customWidth="1"/>
    <col min="15828" max="15828" width="11.140625" style="55" customWidth="1"/>
    <col min="15829" max="15830" width="0" style="55" hidden="1" customWidth="1"/>
    <col min="15831" max="15831" width="10.42578125" style="55" customWidth="1"/>
    <col min="15832" max="15833" width="0" style="55" hidden="1" customWidth="1"/>
    <col min="15834" max="15834" width="9.5703125" style="55" customWidth="1"/>
    <col min="15835" max="15836" width="0" style="55" hidden="1" customWidth="1"/>
    <col min="15837" max="15837" width="10.28515625" style="55" customWidth="1"/>
    <col min="15838" max="15839" width="0" style="55" hidden="1" customWidth="1"/>
    <col min="15840" max="15840" width="10.85546875" style="55" customWidth="1"/>
    <col min="15841" max="15842" width="0" style="55" hidden="1" customWidth="1"/>
    <col min="15843" max="15843" width="12.28515625" style="55" customWidth="1"/>
    <col min="15844" max="15845" width="0" style="55" hidden="1" customWidth="1"/>
    <col min="15846" max="15846" width="11.85546875" style="55" customWidth="1"/>
    <col min="15847" max="15848" width="0" style="55" hidden="1" customWidth="1"/>
    <col min="15849" max="15849" width="10.5703125" style="55" customWidth="1"/>
    <col min="15850" max="15851" width="0" style="55" hidden="1" customWidth="1"/>
    <col min="15852" max="15852" width="10.140625" style="55" customWidth="1"/>
    <col min="15853" max="15854" width="0" style="55" hidden="1" customWidth="1"/>
    <col min="15855" max="15855" width="10.140625" style="55" customWidth="1"/>
    <col min="15856" max="15857" width="0" style="55" hidden="1" customWidth="1"/>
    <col min="15858" max="15858" width="10.42578125" style="55" customWidth="1"/>
    <col min="15859" max="15860" width="0" style="55" hidden="1" customWidth="1"/>
    <col min="15861" max="15861" width="9.7109375" style="55" customWidth="1"/>
    <col min="15862" max="15863" width="0" style="55" hidden="1" customWidth="1"/>
    <col min="15864" max="15864" width="10" style="55" customWidth="1"/>
    <col min="15865" max="15866" width="0" style="55" hidden="1" customWidth="1"/>
    <col min="15867" max="15867" width="12.7109375" style="55" customWidth="1"/>
    <col min="15868" max="15869" width="0" style="55" hidden="1" customWidth="1"/>
    <col min="15870" max="15870" width="12.5703125" style="55" customWidth="1"/>
    <col min="15871" max="15872" width="0" style="55" hidden="1" customWidth="1"/>
    <col min="15873" max="15873" width="10.42578125" style="55" customWidth="1"/>
    <col min="15874" max="15875" width="0" style="55" hidden="1" customWidth="1"/>
    <col min="15876" max="15876" width="9.5703125" style="55" customWidth="1"/>
    <col min="15877" max="15878" width="0" style="55" hidden="1" customWidth="1"/>
    <col min="15879" max="15879" width="10.28515625" style="55" customWidth="1"/>
    <col min="15880" max="15881" width="0" style="55" hidden="1" customWidth="1"/>
    <col min="15882" max="15882" width="11" style="55" customWidth="1"/>
    <col min="15883" max="15884" width="0" style="55" hidden="1" customWidth="1"/>
    <col min="15885" max="15885" width="12.28515625" style="55" customWidth="1"/>
    <col min="15886" max="15887" width="0" style="55" hidden="1" customWidth="1"/>
    <col min="15888" max="15888" width="11.85546875" style="55" customWidth="1"/>
    <col min="15889" max="15890" width="0" style="55" hidden="1" customWidth="1"/>
    <col min="15891" max="15891" width="11" style="55" customWidth="1"/>
    <col min="15892" max="15893" width="0" style="55" hidden="1" customWidth="1"/>
    <col min="15894" max="15894" width="12.140625" style="55" customWidth="1"/>
    <col min="15895" max="15896" width="0" style="55" hidden="1" customWidth="1"/>
    <col min="15897" max="15897" width="11.28515625" style="55" customWidth="1"/>
    <col min="15898" max="15899" width="0" style="55" hidden="1" customWidth="1"/>
    <col min="15900" max="15900" width="11.28515625" style="55" customWidth="1"/>
    <col min="15901" max="15902" width="0" style="55" hidden="1" customWidth="1"/>
    <col min="15903" max="15903" width="10.5703125" style="55" customWidth="1"/>
    <col min="15904" max="15904" width="0" style="55" hidden="1" customWidth="1"/>
    <col min="15905" max="16066" width="9.140625" style="55"/>
    <col min="16067" max="16067" width="10.85546875" style="55" customWidth="1"/>
    <col min="16068" max="16068" width="35.7109375" style="55" customWidth="1"/>
    <col min="16069" max="16070" width="0" style="55" hidden="1" customWidth="1"/>
    <col min="16071" max="16071" width="21.28515625" style="55" customWidth="1"/>
    <col min="16072" max="16072" width="13.42578125" style="55" customWidth="1"/>
    <col min="16073" max="16074" width="0" style="55" hidden="1" customWidth="1"/>
    <col min="16075" max="16075" width="10.42578125" style="55" customWidth="1"/>
    <col min="16076" max="16077" width="0" style="55" hidden="1" customWidth="1"/>
    <col min="16078" max="16078" width="12.42578125" style="55" customWidth="1"/>
    <col min="16079" max="16080" width="0" style="55" hidden="1" customWidth="1"/>
    <col min="16081" max="16081" width="10.42578125" style="55" customWidth="1"/>
    <col min="16082" max="16083" width="0" style="55" hidden="1" customWidth="1"/>
    <col min="16084" max="16084" width="11.140625" style="55" customWidth="1"/>
    <col min="16085" max="16086" width="0" style="55" hidden="1" customWidth="1"/>
    <col min="16087" max="16087" width="10.42578125" style="55" customWidth="1"/>
    <col min="16088" max="16089" width="0" style="55" hidden="1" customWidth="1"/>
    <col min="16090" max="16090" width="9.5703125" style="55" customWidth="1"/>
    <col min="16091" max="16092" width="0" style="55" hidden="1" customWidth="1"/>
    <col min="16093" max="16093" width="10.28515625" style="55" customWidth="1"/>
    <col min="16094" max="16095" width="0" style="55" hidden="1" customWidth="1"/>
    <col min="16096" max="16096" width="10.85546875" style="55" customWidth="1"/>
    <col min="16097" max="16098" width="0" style="55" hidden="1" customWidth="1"/>
    <col min="16099" max="16099" width="12.28515625" style="55" customWidth="1"/>
    <col min="16100" max="16101" width="0" style="55" hidden="1" customWidth="1"/>
    <col min="16102" max="16102" width="11.85546875" style="55" customWidth="1"/>
    <col min="16103" max="16104" width="0" style="55" hidden="1" customWidth="1"/>
    <col min="16105" max="16105" width="10.5703125" style="55" customWidth="1"/>
    <col min="16106" max="16107" width="0" style="55" hidden="1" customWidth="1"/>
    <col min="16108" max="16108" width="10.140625" style="55" customWidth="1"/>
    <col min="16109" max="16110" width="0" style="55" hidden="1" customWidth="1"/>
    <col min="16111" max="16111" width="10.140625" style="55" customWidth="1"/>
    <col min="16112" max="16113" width="0" style="55" hidden="1" customWidth="1"/>
    <col min="16114" max="16114" width="10.42578125" style="55" customWidth="1"/>
    <col min="16115" max="16116" width="0" style="55" hidden="1" customWidth="1"/>
    <col min="16117" max="16117" width="9.7109375" style="55" customWidth="1"/>
    <col min="16118" max="16119" width="0" style="55" hidden="1" customWidth="1"/>
    <col min="16120" max="16120" width="10" style="55" customWidth="1"/>
    <col min="16121" max="16122" width="0" style="55" hidden="1" customWidth="1"/>
    <col min="16123" max="16123" width="12.7109375" style="55" customWidth="1"/>
    <col min="16124" max="16125" width="0" style="55" hidden="1" customWidth="1"/>
    <col min="16126" max="16126" width="12.5703125" style="55" customWidth="1"/>
    <col min="16127" max="16128" width="0" style="55" hidden="1" customWidth="1"/>
    <col min="16129" max="16129" width="10.42578125" style="55" customWidth="1"/>
    <col min="16130" max="16131" width="0" style="55" hidden="1" customWidth="1"/>
    <col min="16132" max="16132" width="9.5703125" style="55" customWidth="1"/>
    <col min="16133" max="16134" width="0" style="55" hidden="1" customWidth="1"/>
    <col min="16135" max="16135" width="10.28515625" style="55" customWidth="1"/>
    <col min="16136" max="16137" width="0" style="55" hidden="1" customWidth="1"/>
    <col min="16138" max="16138" width="11" style="55" customWidth="1"/>
    <col min="16139" max="16140" width="0" style="55" hidden="1" customWidth="1"/>
    <col min="16141" max="16141" width="12.28515625" style="55" customWidth="1"/>
    <col min="16142" max="16143" width="0" style="55" hidden="1" customWidth="1"/>
    <col min="16144" max="16144" width="11.85546875" style="55" customWidth="1"/>
    <col min="16145" max="16146" width="0" style="55" hidden="1" customWidth="1"/>
    <col min="16147" max="16147" width="11" style="55" customWidth="1"/>
    <col min="16148" max="16149" width="0" style="55" hidden="1" customWidth="1"/>
    <col min="16150" max="16150" width="12.140625" style="55" customWidth="1"/>
    <col min="16151" max="16152" width="0" style="55" hidden="1" customWidth="1"/>
    <col min="16153" max="16153" width="11.28515625" style="55" customWidth="1"/>
    <col min="16154" max="16155" width="0" style="55" hidden="1" customWidth="1"/>
    <col min="16156" max="16156" width="11.28515625" style="55" customWidth="1"/>
    <col min="16157" max="16158" width="0" style="55" hidden="1" customWidth="1"/>
    <col min="16159" max="16159" width="10.5703125" style="55" customWidth="1"/>
    <col min="16160" max="16160" width="0" style="55" hidden="1" customWidth="1"/>
    <col min="16161" max="16384" width="9.140625" style="55"/>
  </cols>
  <sheetData>
    <row r="1" spans="1:40" ht="52.5" customHeight="1" x14ac:dyDescent="0.25">
      <c r="B1" s="53" t="s">
        <v>87</v>
      </c>
      <c r="C1" s="54"/>
      <c r="D1" s="55" t="s">
        <v>86</v>
      </c>
      <c r="S1" s="56"/>
    </row>
    <row r="2" spans="1:40" ht="0.75" hidden="1" customHeight="1" x14ac:dyDescent="0.25">
      <c r="B2" s="58"/>
      <c r="C2" s="52"/>
      <c r="S2" s="56"/>
      <c r="AH2" s="122"/>
      <c r="AI2" s="124"/>
      <c r="AJ2" s="124"/>
      <c r="AK2" s="124"/>
      <c r="AL2" s="124"/>
      <c r="AM2" s="124"/>
      <c r="AN2" s="124"/>
    </row>
    <row r="3" spans="1:40" ht="40.5" customHeight="1" x14ac:dyDescent="0.25">
      <c r="A3" s="60"/>
      <c r="B3" s="61"/>
      <c r="C3" s="62" t="s">
        <v>88</v>
      </c>
      <c r="D3" s="62" t="s">
        <v>0</v>
      </c>
      <c r="E3" s="62" t="s">
        <v>79</v>
      </c>
      <c r="F3" s="63" t="s">
        <v>1</v>
      </c>
      <c r="G3" s="63" t="s">
        <v>2</v>
      </c>
      <c r="H3" s="63" t="s">
        <v>80</v>
      </c>
      <c r="I3" s="63" t="s">
        <v>81</v>
      </c>
      <c r="J3" s="63" t="s">
        <v>82</v>
      </c>
      <c r="K3" s="61" t="s">
        <v>84</v>
      </c>
      <c r="L3" s="61" t="s">
        <v>83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7</v>
      </c>
      <c r="R3" s="61" t="s">
        <v>8</v>
      </c>
      <c r="S3" s="61" t="s">
        <v>9</v>
      </c>
      <c r="T3" s="61" t="s">
        <v>10</v>
      </c>
      <c r="U3" s="61" t="s">
        <v>11</v>
      </c>
      <c r="V3" s="61" t="s">
        <v>12</v>
      </c>
      <c r="W3" s="61" t="s">
        <v>13</v>
      </c>
      <c r="X3" s="61" t="s">
        <v>14</v>
      </c>
      <c r="Y3" s="61" t="s">
        <v>15</v>
      </c>
      <c r="Z3" s="61" t="s">
        <v>16</v>
      </c>
      <c r="AA3" s="61" t="s">
        <v>17</v>
      </c>
      <c r="AB3" s="61" t="s">
        <v>18</v>
      </c>
      <c r="AC3" s="64" t="s">
        <v>19</v>
      </c>
      <c r="AD3" s="61" t="s">
        <v>20</v>
      </c>
      <c r="AE3" s="61" t="s">
        <v>21</v>
      </c>
      <c r="AF3" s="64" t="s">
        <v>22</v>
      </c>
      <c r="AG3" s="61" t="s">
        <v>23</v>
      </c>
      <c r="AH3" s="58"/>
      <c r="AI3" s="58"/>
      <c r="AJ3" s="58"/>
      <c r="AK3" s="58"/>
      <c r="AL3" s="58"/>
      <c r="AM3" s="58"/>
      <c r="AN3" s="58"/>
    </row>
    <row r="4" spans="1:40" ht="31.5" customHeight="1" x14ac:dyDescent="0.25">
      <c r="A4" s="65" t="s">
        <v>24</v>
      </c>
      <c r="B4" s="66" t="s">
        <v>25</v>
      </c>
      <c r="C4" s="66" t="s">
        <v>26</v>
      </c>
      <c r="D4" s="66" t="s">
        <v>26</v>
      </c>
      <c r="E4" s="66" t="s">
        <v>26</v>
      </c>
      <c r="F4" s="66" t="s">
        <v>26</v>
      </c>
      <c r="G4" s="66" t="s">
        <v>26</v>
      </c>
      <c r="H4" s="66" t="s">
        <v>26</v>
      </c>
      <c r="I4" s="66" t="s">
        <v>26</v>
      </c>
      <c r="J4" s="66" t="s">
        <v>26</v>
      </c>
      <c r="K4" s="66" t="s">
        <v>26</v>
      </c>
      <c r="L4" s="66" t="s">
        <v>26</v>
      </c>
      <c r="M4" s="66" t="s">
        <v>26</v>
      </c>
      <c r="N4" s="66" t="s">
        <v>26</v>
      </c>
      <c r="O4" s="66" t="s">
        <v>26</v>
      </c>
      <c r="P4" s="66" t="s">
        <v>26</v>
      </c>
      <c r="Q4" s="66" t="s">
        <v>26</v>
      </c>
      <c r="R4" s="66" t="s">
        <v>26</v>
      </c>
      <c r="S4" s="66" t="s">
        <v>26</v>
      </c>
      <c r="T4" s="66" t="s">
        <v>26</v>
      </c>
      <c r="U4" s="66" t="s">
        <v>26</v>
      </c>
      <c r="V4" s="66" t="s">
        <v>26</v>
      </c>
      <c r="W4" s="66" t="s">
        <v>26</v>
      </c>
      <c r="X4" s="66" t="s">
        <v>26</v>
      </c>
      <c r="Y4" s="66" t="s">
        <v>26</v>
      </c>
      <c r="Z4" s="66" t="s">
        <v>26</v>
      </c>
      <c r="AA4" s="66" t="s">
        <v>26</v>
      </c>
      <c r="AB4" s="66" t="s">
        <v>26</v>
      </c>
      <c r="AC4" s="66" t="s">
        <v>26</v>
      </c>
      <c r="AD4" s="66" t="s">
        <v>26</v>
      </c>
      <c r="AE4" s="66" t="s">
        <v>26</v>
      </c>
      <c r="AF4" s="66" t="s">
        <v>26</v>
      </c>
      <c r="AG4" s="66" t="s">
        <v>26</v>
      </c>
      <c r="AH4" s="58"/>
      <c r="AI4" s="58"/>
      <c r="AJ4" s="58"/>
      <c r="AK4" s="58"/>
      <c r="AL4" s="58"/>
      <c r="AM4" s="58"/>
      <c r="AN4" s="58"/>
    </row>
    <row r="5" spans="1:40" ht="31.5" customHeight="1" x14ac:dyDescent="0.25">
      <c r="A5" s="60"/>
      <c r="B5" s="61" t="s">
        <v>27</v>
      </c>
      <c r="C5" s="61">
        <v>273.02</v>
      </c>
      <c r="D5" s="61">
        <v>11.24</v>
      </c>
      <c r="E5" s="61">
        <v>17.77</v>
      </c>
      <c r="F5" s="61">
        <v>9.61</v>
      </c>
      <c r="G5" s="61">
        <v>17.11</v>
      </c>
      <c r="H5" s="61">
        <v>17.63</v>
      </c>
      <c r="I5" s="61">
        <v>9.61</v>
      </c>
      <c r="J5" s="61">
        <v>18.190000000000001</v>
      </c>
      <c r="K5" s="61">
        <v>11.41</v>
      </c>
      <c r="L5" s="61">
        <v>8.1300000000000008</v>
      </c>
      <c r="M5" s="61">
        <v>5.17</v>
      </c>
      <c r="N5" s="61">
        <v>8.4700000000000006</v>
      </c>
      <c r="O5" s="61">
        <v>6.35</v>
      </c>
      <c r="P5" s="61">
        <v>2.58</v>
      </c>
      <c r="Q5" s="61">
        <v>5.18</v>
      </c>
      <c r="R5" s="61">
        <v>4.07</v>
      </c>
      <c r="S5" s="61">
        <v>11.86</v>
      </c>
      <c r="T5" s="61">
        <v>10.45</v>
      </c>
      <c r="U5" s="61">
        <v>12.28</v>
      </c>
      <c r="V5" s="61">
        <v>10.28</v>
      </c>
      <c r="W5" s="61">
        <v>5.46</v>
      </c>
      <c r="X5" s="61">
        <v>8.56</v>
      </c>
      <c r="Y5" s="61">
        <v>11.05</v>
      </c>
      <c r="Z5" s="61">
        <v>3.77</v>
      </c>
      <c r="AA5" s="61">
        <v>7.73</v>
      </c>
      <c r="AB5" s="61">
        <v>3.69</v>
      </c>
      <c r="AC5" s="61">
        <v>9.35</v>
      </c>
      <c r="AD5" s="61">
        <v>5.68</v>
      </c>
      <c r="AE5" s="61">
        <v>9.5500000000000007</v>
      </c>
      <c r="AF5" s="61">
        <v>4.99</v>
      </c>
      <c r="AG5" s="61">
        <v>5.8</v>
      </c>
      <c r="AH5" s="58"/>
      <c r="AI5" s="58"/>
      <c r="AJ5" s="58"/>
      <c r="AK5" s="58"/>
      <c r="AL5" s="58"/>
      <c r="AM5" s="58"/>
      <c r="AN5" s="58"/>
    </row>
    <row r="6" spans="1:40" ht="45.75" customHeight="1" x14ac:dyDescent="0.2">
      <c r="A6" s="67"/>
      <c r="B6" s="68" t="s">
        <v>89</v>
      </c>
      <c r="C6" s="69">
        <f>D6+E6+F6+G6+H6+I6+J6+K6+L6+M6+N6+O6+P6+Q6+R6+S6+T6+U6+V6+W6+X6+Y6+Z6+AA6+AB6+AC6+AD6+AE6+AF6+AG6</f>
        <v>12048.069999999998</v>
      </c>
      <c r="D6" s="70">
        <v>506.85</v>
      </c>
      <c r="E6" s="70">
        <v>818.63</v>
      </c>
      <c r="F6" s="70">
        <v>323.52</v>
      </c>
      <c r="G6" s="70">
        <v>623.03</v>
      </c>
      <c r="H6" s="70">
        <v>631.27</v>
      </c>
      <c r="I6" s="70">
        <v>359.6</v>
      </c>
      <c r="J6" s="70">
        <v>615.04</v>
      </c>
      <c r="K6" s="70">
        <v>457.74</v>
      </c>
      <c r="L6" s="70">
        <v>376.47</v>
      </c>
      <c r="M6" s="70">
        <v>124.99</v>
      </c>
      <c r="N6" s="70">
        <v>381.82</v>
      </c>
      <c r="O6" s="70">
        <v>392.99</v>
      </c>
      <c r="P6" s="70">
        <v>90.41</v>
      </c>
      <c r="Q6" s="70">
        <v>386.98</v>
      </c>
      <c r="R6" s="70">
        <v>121.05</v>
      </c>
      <c r="S6" s="70">
        <v>421.41</v>
      </c>
      <c r="T6" s="70">
        <v>537.51</v>
      </c>
      <c r="U6" s="70">
        <v>640.03</v>
      </c>
      <c r="V6" s="70">
        <v>472.19</v>
      </c>
      <c r="W6" s="70">
        <v>329.37</v>
      </c>
      <c r="X6" s="70">
        <v>375.74</v>
      </c>
      <c r="Y6" s="70">
        <v>354.39</v>
      </c>
      <c r="Z6" s="70">
        <v>284.45</v>
      </c>
      <c r="AA6" s="70">
        <v>375.07</v>
      </c>
      <c r="AB6" s="70">
        <v>179.27</v>
      </c>
      <c r="AC6" s="70">
        <v>475.05</v>
      </c>
      <c r="AD6" s="70">
        <v>346.91</v>
      </c>
      <c r="AE6" s="70">
        <v>440.72</v>
      </c>
      <c r="AF6" s="70">
        <v>349.32</v>
      </c>
      <c r="AG6" s="70">
        <v>256.25</v>
      </c>
      <c r="AH6" s="71"/>
      <c r="AI6" s="71"/>
      <c r="AJ6" s="71"/>
      <c r="AK6" s="71"/>
      <c r="AL6" s="71"/>
      <c r="AM6" s="71"/>
      <c r="AN6" s="71"/>
    </row>
    <row r="7" spans="1:40" s="56" customFormat="1" ht="33" customHeight="1" x14ac:dyDescent="0.3">
      <c r="A7" s="72">
        <v>1</v>
      </c>
      <c r="B7" s="73" t="s">
        <v>28</v>
      </c>
      <c r="C7" s="69">
        <f>C8+C9+C10</f>
        <v>94277.405008200018</v>
      </c>
      <c r="D7" s="69">
        <f t="shared" ref="D7:X7" si="0">D8+D9+D10</f>
        <v>3934.0282094999998</v>
      </c>
      <c r="E7" s="69">
        <f t="shared" si="0"/>
        <v>6077.3270030000003</v>
      </c>
      <c r="F7" s="69">
        <f t="shared" si="0"/>
        <v>3299.3820286</v>
      </c>
      <c r="G7" s="69">
        <f t="shared" si="0"/>
        <v>5736.8436000000002</v>
      </c>
      <c r="H7" s="69">
        <f t="shared" si="0"/>
        <v>6166.6213336000001</v>
      </c>
      <c r="I7" s="69">
        <f t="shared" si="0"/>
        <v>3223.8535999999999</v>
      </c>
      <c r="J7" s="69">
        <f t="shared" si="0"/>
        <v>6200.8203395999999</v>
      </c>
      <c r="K7" s="69">
        <f t="shared" si="0"/>
        <v>3884.2561224999999</v>
      </c>
      <c r="L7" s="69">
        <f t="shared" si="0"/>
        <v>2741.7446538000008</v>
      </c>
      <c r="M7" s="69">
        <f t="shared" si="0"/>
        <v>1735.3792000000003</v>
      </c>
      <c r="N7" s="69">
        <f t="shared" si="0"/>
        <v>2856.9602622000002</v>
      </c>
      <c r="O7" s="69">
        <f t="shared" si="0"/>
        <v>2129.8160000000003</v>
      </c>
      <c r="P7" s="69">
        <f t="shared" si="0"/>
        <v>1260.9707225000002</v>
      </c>
      <c r="Q7" s="69">
        <f t="shared" si="0"/>
        <v>1738.3367999999998</v>
      </c>
      <c r="R7" s="69">
        <f t="shared" si="0"/>
        <v>1366.1232</v>
      </c>
      <c r="S7" s="69">
        <f t="shared" si="0"/>
        <v>3998.6998838</v>
      </c>
      <c r="T7" s="69">
        <f t="shared" si="0"/>
        <v>3502.5819999999994</v>
      </c>
      <c r="U7" s="69">
        <f t="shared" si="0"/>
        <v>4121.9331157999995</v>
      </c>
      <c r="V7" s="69">
        <f t="shared" si="0"/>
        <v>3679.9134233999994</v>
      </c>
      <c r="W7" s="69">
        <f t="shared" si="0"/>
        <v>1956.2238388999999</v>
      </c>
      <c r="X7" s="69">
        <f t="shared" si="0"/>
        <v>2926.3120223000001</v>
      </c>
      <c r="Y7" s="69">
        <f t="shared" ref="Y7:AG7" si="1">Y8+Y9+Y10</f>
        <v>3945.2515862999999</v>
      </c>
      <c r="Z7" s="69">
        <f t="shared" si="1"/>
        <v>1313.2640409999999</v>
      </c>
      <c r="AA7" s="69">
        <f t="shared" si="1"/>
        <v>2591.4648000000002</v>
      </c>
      <c r="AB7" s="69">
        <f t="shared" si="1"/>
        <v>1323.8062997</v>
      </c>
      <c r="AC7" s="69">
        <f t="shared" si="1"/>
        <v>3133.846</v>
      </c>
      <c r="AD7" s="69">
        <f t="shared" si="1"/>
        <v>1931.4978169000001</v>
      </c>
      <c r="AE7" s="69">
        <f t="shared" si="1"/>
        <v>3230.9051031000004</v>
      </c>
      <c r="AF7" s="69">
        <f t="shared" si="1"/>
        <v>1688.7310017000004</v>
      </c>
      <c r="AG7" s="69">
        <f t="shared" si="1"/>
        <v>1945.3880000000001</v>
      </c>
      <c r="AH7" s="75"/>
      <c r="AI7" s="74"/>
      <c r="AJ7" s="74"/>
      <c r="AK7" s="75"/>
      <c r="AL7" s="74"/>
      <c r="AM7" s="74"/>
      <c r="AN7" s="75"/>
    </row>
    <row r="8" spans="1:40" s="56" customFormat="1" ht="37.5" customHeight="1" x14ac:dyDescent="0.3">
      <c r="A8" s="72">
        <v>2</v>
      </c>
      <c r="B8" s="76" t="s">
        <v>29</v>
      </c>
      <c r="C8" s="77">
        <f>D8+E8+F8+G8+H8+I8+J8+K8+L8+M8+N8+O8+P8+Q8+R8+S8+T8+U8+V8+W8+X8+Y8+Z8+AA8+AB8+AC8+AD8+AE8+AF8+AG8</f>
        <v>84351.585200000016</v>
      </c>
      <c r="D8" s="78">
        <f>25.73*11.24*12+53.93</f>
        <v>3524.3923999999997</v>
      </c>
      <c r="E8" s="78">
        <f>25.73*17.77*12</f>
        <v>5486.6652000000004</v>
      </c>
      <c r="F8" s="78">
        <f>25.73*9.61*12</f>
        <v>2967.1835999999998</v>
      </c>
      <c r="G8" s="78">
        <f>25.73*17.11*12</f>
        <v>5282.8836000000001</v>
      </c>
      <c r="H8" s="78">
        <f>25.73*17.63*12</f>
        <v>5443.4387999999999</v>
      </c>
      <c r="I8" s="78">
        <f>25.73*9.61*12</f>
        <v>2967.1835999999998</v>
      </c>
      <c r="J8" s="78">
        <f>25.73*18.19*12</f>
        <v>5616.3444</v>
      </c>
      <c r="K8" s="78">
        <f>25.73*11.41*12</f>
        <v>3522.9515999999999</v>
      </c>
      <c r="L8" s="78">
        <f>25.73*8.13*12</f>
        <v>2510.2188000000006</v>
      </c>
      <c r="M8" s="78">
        <f>25.73*5.17*12</f>
        <v>1596.2892000000002</v>
      </c>
      <c r="N8" s="78">
        <f>25.73*8.47*12</f>
        <v>2615.1972000000005</v>
      </c>
      <c r="O8" s="78">
        <f>25.73*6.35*12</f>
        <v>1960.6260000000002</v>
      </c>
      <c r="P8" s="78">
        <f>25.73*2.58*12</f>
        <v>796.60080000000016</v>
      </c>
      <c r="Q8" s="78">
        <f>25.73*5.18*12</f>
        <v>1599.3768</v>
      </c>
      <c r="R8" s="78">
        <f>25.73*4.07*12</f>
        <v>1256.6532000000002</v>
      </c>
      <c r="S8" s="78">
        <f>25.73*11.86*12</f>
        <v>3661.8936000000003</v>
      </c>
      <c r="T8" s="78">
        <f>25.73*10.45*12</f>
        <v>3226.5419999999995</v>
      </c>
      <c r="U8" s="78">
        <f>25.73*12.28*12</f>
        <v>3791.5727999999999</v>
      </c>
      <c r="V8" s="78">
        <f>25.73*10.28*12</f>
        <v>3174.0527999999995</v>
      </c>
      <c r="W8" s="78">
        <f>25.73*5.46*12</f>
        <v>1685.8296</v>
      </c>
      <c r="X8" s="78">
        <f>25.73*8.56*12</f>
        <v>2642.9856</v>
      </c>
      <c r="Y8" s="78">
        <f>25.73*11.05*12</f>
        <v>3411.7980000000002</v>
      </c>
      <c r="Z8" s="78">
        <f>25.73*3.77*12</f>
        <v>1164.0252</v>
      </c>
      <c r="AA8" s="78">
        <f>25.73*7.73*12</f>
        <v>2386.7148000000002</v>
      </c>
      <c r="AB8" s="78">
        <f>25.73*3.69*12</f>
        <v>1139.3244</v>
      </c>
      <c r="AC8" s="78">
        <f>25.73*9.35*12</f>
        <v>2886.9059999999999</v>
      </c>
      <c r="AD8" s="78">
        <f>25.73*5.68*12</f>
        <v>1753.7568000000001</v>
      </c>
      <c r="AE8" s="78">
        <f>25.73*9.55*12</f>
        <v>2948.6580000000004</v>
      </c>
      <c r="AF8" s="78">
        <f>25.73*4.99*12</f>
        <v>1540.7124000000003</v>
      </c>
      <c r="AG8" s="78">
        <f>25.73*5.8*12</f>
        <v>1790.808</v>
      </c>
      <c r="AH8" s="75"/>
      <c r="AI8" s="74"/>
      <c r="AJ8" s="74"/>
      <c r="AK8" s="75"/>
      <c r="AL8" s="74"/>
      <c r="AM8" s="74"/>
      <c r="AN8" s="75"/>
    </row>
    <row r="9" spans="1:40" s="56" customFormat="1" ht="37.5" customHeight="1" x14ac:dyDescent="0.3">
      <c r="A9" s="72">
        <v>3</v>
      </c>
      <c r="B9" s="79" t="s">
        <v>30</v>
      </c>
      <c r="C9" s="77">
        <v>5961.0230000000001</v>
      </c>
      <c r="D9" s="80">
        <v>245.41</v>
      </c>
      <c r="E9" s="80">
        <v>352.76</v>
      </c>
      <c r="F9" s="80">
        <v>209.82</v>
      </c>
      <c r="G9" s="80">
        <v>373.57</v>
      </c>
      <c r="H9" s="80">
        <v>384.93</v>
      </c>
      <c r="I9" s="80">
        <v>209.82</v>
      </c>
      <c r="J9" s="80">
        <v>397.15</v>
      </c>
      <c r="K9" s="80">
        <v>249.12</v>
      </c>
      <c r="L9" s="80">
        <v>177.51</v>
      </c>
      <c r="M9" s="80">
        <v>112.88</v>
      </c>
      <c r="N9" s="80">
        <v>184.93</v>
      </c>
      <c r="O9" s="80">
        <v>138.63999999999999</v>
      </c>
      <c r="P9" s="80">
        <v>56.33</v>
      </c>
      <c r="Q9" s="80">
        <v>113.1</v>
      </c>
      <c r="R9" s="80">
        <v>88.86</v>
      </c>
      <c r="S9" s="80">
        <v>258.95</v>
      </c>
      <c r="T9" s="80">
        <v>228.16</v>
      </c>
      <c r="U9" s="80">
        <v>268.12</v>
      </c>
      <c r="V9" s="80">
        <v>224.45</v>
      </c>
      <c r="W9" s="80">
        <v>119.21</v>
      </c>
      <c r="X9" s="80">
        <v>186.9</v>
      </c>
      <c r="Y9" s="80">
        <v>241.26</v>
      </c>
      <c r="Z9" s="80">
        <v>82.31</v>
      </c>
      <c r="AA9" s="80">
        <v>168.77</v>
      </c>
      <c r="AB9" s="80">
        <v>80.569999999999993</v>
      </c>
      <c r="AC9" s="80">
        <v>204.14</v>
      </c>
      <c r="AD9" s="80">
        <v>124.12</v>
      </c>
      <c r="AE9" s="80">
        <v>208.51</v>
      </c>
      <c r="AF9" s="80">
        <v>108.95</v>
      </c>
      <c r="AG9" s="80">
        <v>126.64</v>
      </c>
      <c r="AH9" s="75"/>
      <c r="AI9" s="74"/>
      <c r="AJ9" s="74"/>
      <c r="AK9" s="75"/>
      <c r="AL9" s="74"/>
      <c r="AM9" s="74"/>
      <c r="AN9" s="75"/>
    </row>
    <row r="10" spans="1:40" ht="29.25" customHeight="1" x14ac:dyDescent="0.3">
      <c r="A10" s="72">
        <v>4</v>
      </c>
      <c r="B10" s="79" t="s">
        <v>31</v>
      </c>
      <c r="C10" s="80">
        <f>C11+C12+C13+C14+C15+C16+C17+C18+C19+C20</f>
        <v>3964.7968081999998</v>
      </c>
      <c r="D10" s="80">
        <f t="shared" ref="D10:Y10" si="2">D11+D12+D13+D14+D15+D16+D18</f>
        <v>164.2258095</v>
      </c>
      <c r="E10" s="80">
        <f t="shared" si="2"/>
        <v>237.90180300000003</v>
      </c>
      <c r="F10" s="80">
        <f t="shared" si="2"/>
        <v>122.37842860000002</v>
      </c>
      <c r="G10" s="80">
        <f t="shared" si="2"/>
        <v>80.389999999999986</v>
      </c>
      <c r="H10" s="80">
        <f t="shared" si="2"/>
        <v>338.25253359999999</v>
      </c>
      <c r="I10" s="80">
        <f t="shared" si="2"/>
        <v>46.85</v>
      </c>
      <c r="J10" s="80">
        <f t="shared" si="2"/>
        <v>187.3259396</v>
      </c>
      <c r="K10" s="80">
        <f t="shared" si="2"/>
        <v>112.18452250000001</v>
      </c>
      <c r="L10" s="80">
        <f t="shared" si="2"/>
        <v>54.015853800000002</v>
      </c>
      <c r="M10" s="80">
        <f t="shared" si="2"/>
        <v>26.21</v>
      </c>
      <c r="N10" s="80">
        <f t="shared" si="2"/>
        <v>56.833062200000001</v>
      </c>
      <c r="O10" s="80">
        <f t="shared" si="2"/>
        <v>30.55</v>
      </c>
      <c r="P10" s="80">
        <f t="shared" si="2"/>
        <v>408.03992250000005</v>
      </c>
      <c r="Q10" s="80">
        <f t="shared" si="2"/>
        <v>25.860000000000003</v>
      </c>
      <c r="R10" s="80">
        <f t="shared" si="2"/>
        <v>20.610000000000003</v>
      </c>
      <c r="S10" s="80">
        <f t="shared" si="2"/>
        <v>77.856283800000028</v>
      </c>
      <c r="T10" s="80">
        <f t="shared" si="2"/>
        <v>47.879999999999995</v>
      </c>
      <c r="U10" s="80">
        <f t="shared" si="2"/>
        <v>62.240315799999998</v>
      </c>
      <c r="V10" s="80">
        <f t="shared" si="2"/>
        <v>281.41062340000002</v>
      </c>
      <c r="W10" s="80">
        <f t="shared" si="2"/>
        <v>151.18423889999997</v>
      </c>
      <c r="X10" s="80">
        <f t="shared" si="2"/>
        <v>96.426422299999999</v>
      </c>
      <c r="Y10" s="80">
        <f t="shared" si="2"/>
        <v>292.19358630000005</v>
      </c>
      <c r="Z10" s="80">
        <f t="shared" ref="Z10:AG10" si="3">Z11+Z12+Z13+Z14+Z15+Z16+Z18</f>
        <v>66.92884100000002</v>
      </c>
      <c r="AA10" s="80">
        <f t="shared" si="3"/>
        <v>35.979999999999997</v>
      </c>
      <c r="AB10" s="80">
        <f t="shared" si="3"/>
        <v>103.91189970000001</v>
      </c>
      <c r="AC10" s="80">
        <f t="shared" si="3"/>
        <v>42.8</v>
      </c>
      <c r="AD10" s="80">
        <f t="shared" si="3"/>
        <v>53.621016900000001</v>
      </c>
      <c r="AE10" s="80">
        <f t="shared" si="3"/>
        <v>73.737103099999999</v>
      </c>
      <c r="AF10" s="80">
        <f t="shared" si="3"/>
        <v>39.068601700000002</v>
      </c>
      <c r="AG10" s="80">
        <f t="shared" si="3"/>
        <v>27.94</v>
      </c>
      <c r="AH10" s="75"/>
      <c r="AK10" s="75"/>
      <c r="AN10" s="75"/>
    </row>
    <row r="11" spans="1:40" s="86" customFormat="1" ht="30" customHeight="1" x14ac:dyDescent="0.25">
      <c r="A11" s="81"/>
      <c r="B11" s="82" t="s">
        <v>32</v>
      </c>
      <c r="C11" s="83">
        <f t="shared" ref="C11:C20" si="4">D11+E11+F11+G11+H11+I11+J11+K11+L11+M11+N11+O11+P11+Q11+R11+S11+T11+U11+V11+W11+X11+Y11+Z11+AA11+AB11+AC11+AD11+AE11+AF11+AG11</f>
        <v>1709.9368082000003</v>
      </c>
      <c r="D11" s="70">
        <f>0.28101*25.73*15+0.89</f>
        <v>109.34580949999999</v>
      </c>
      <c r="E11" s="70">
        <f>0.39674*25.73*15</f>
        <v>153.121803</v>
      </c>
      <c r="F11" s="70">
        <f>0.15378*25.73*19</f>
        <v>75.178428600000004</v>
      </c>
      <c r="G11" s="70"/>
      <c r="H11" s="70">
        <f>0.58296*25.73*17</f>
        <v>254.99253360000003</v>
      </c>
      <c r="I11" s="70"/>
      <c r="J11" s="70">
        <f>0.23956*25.73*17</f>
        <v>104.78593960000001</v>
      </c>
      <c r="K11" s="70">
        <f>0.13725*25.73*17</f>
        <v>60.034522500000001</v>
      </c>
      <c r="L11" s="70">
        <f>0.03218*25.73*17</f>
        <v>14.075853800000001</v>
      </c>
      <c r="M11" s="70"/>
      <c r="N11" s="70">
        <f>0.03542*25.73*17</f>
        <v>15.493062200000001</v>
      </c>
      <c r="O11" s="70"/>
      <c r="P11" s="70">
        <f>0.07725*25.73*17</f>
        <v>33.789922500000003</v>
      </c>
      <c r="Q11" s="70"/>
      <c r="R11" s="70"/>
      <c r="S11" s="70">
        <f>0.05518*25.73*17</f>
        <v>24.136283800000001</v>
      </c>
      <c r="T11" s="70"/>
      <c r="U11" s="70">
        <f>0.01038*25.73*17</f>
        <v>4.5403158000000001</v>
      </c>
      <c r="V11" s="70">
        <f>0.53474*25.73*17</f>
        <v>233.90062340000003</v>
      </c>
      <c r="W11" s="70">
        <f>0.27929*25.73*17</f>
        <v>122.1642389</v>
      </c>
      <c r="X11" s="70">
        <f>0.13003*25.73*17</f>
        <v>56.876422300000002</v>
      </c>
      <c r="Y11" s="70">
        <f>0.55043*25.73*17</f>
        <v>240.76358630000001</v>
      </c>
      <c r="Z11" s="70">
        <f>0.1101*25.73*17</f>
        <v>48.158841000000002</v>
      </c>
      <c r="AA11" s="70"/>
      <c r="AB11" s="70">
        <f>0.19417*25.73*17</f>
        <v>84.931899700000002</v>
      </c>
      <c r="AC11" s="70"/>
      <c r="AD11" s="70">
        <f>0.06509*25.73*17</f>
        <v>28.471016899999995</v>
      </c>
      <c r="AE11" s="70">
        <f>0.06691*25.73*17</f>
        <v>29.2671031</v>
      </c>
      <c r="AF11" s="70">
        <f>0.03637*25.73*17</f>
        <v>15.9086017</v>
      </c>
      <c r="AG11" s="70"/>
      <c r="AH11" s="85"/>
      <c r="AI11" s="84"/>
      <c r="AJ11" s="84"/>
      <c r="AK11" s="85"/>
      <c r="AL11" s="84"/>
      <c r="AM11" s="84"/>
      <c r="AN11" s="85"/>
    </row>
    <row r="12" spans="1:40" s="86" customFormat="1" ht="37.5" customHeight="1" x14ac:dyDescent="0.25">
      <c r="A12" s="81"/>
      <c r="B12" s="82" t="s">
        <v>33</v>
      </c>
      <c r="C12" s="83">
        <f t="shared" si="4"/>
        <v>405.69999999999982</v>
      </c>
      <c r="D12" s="70">
        <f>16.77-1.7</f>
        <v>15.07</v>
      </c>
      <c r="E12" s="70">
        <v>26.52</v>
      </c>
      <c r="F12" s="70">
        <v>14.34</v>
      </c>
      <c r="G12" s="70">
        <v>25.53</v>
      </c>
      <c r="H12" s="70">
        <v>26.31</v>
      </c>
      <c r="I12" s="70">
        <v>14.34</v>
      </c>
      <c r="J12" s="70">
        <v>27.14</v>
      </c>
      <c r="K12" s="70">
        <v>17.03</v>
      </c>
      <c r="L12" s="70">
        <v>12.13</v>
      </c>
      <c r="M12" s="70">
        <v>7.71</v>
      </c>
      <c r="N12" s="70">
        <v>12.64</v>
      </c>
      <c r="O12" s="70">
        <v>9.48</v>
      </c>
      <c r="P12" s="70">
        <v>3.85</v>
      </c>
      <c r="Q12" s="70">
        <v>7.73</v>
      </c>
      <c r="R12" s="70">
        <v>6.07</v>
      </c>
      <c r="S12" s="70">
        <v>17.7</v>
      </c>
      <c r="T12" s="70">
        <v>15.59</v>
      </c>
      <c r="U12" s="70">
        <v>18.32</v>
      </c>
      <c r="V12" s="70">
        <v>15.34</v>
      </c>
      <c r="W12" s="70">
        <v>8.15</v>
      </c>
      <c r="X12" s="70">
        <v>12.77</v>
      </c>
      <c r="Y12" s="70">
        <v>16.489999999999998</v>
      </c>
      <c r="Z12" s="70">
        <v>5.63</v>
      </c>
      <c r="AA12" s="70">
        <v>11.53</v>
      </c>
      <c r="AB12" s="70">
        <v>5.51</v>
      </c>
      <c r="AC12" s="70">
        <v>13.95</v>
      </c>
      <c r="AD12" s="70">
        <v>8.48</v>
      </c>
      <c r="AE12" s="70">
        <v>14.25</v>
      </c>
      <c r="AF12" s="70">
        <v>7.45</v>
      </c>
      <c r="AG12" s="70">
        <v>8.65</v>
      </c>
      <c r="AH12" s="85"/>
      <c r="AI12" s="84"/>
      <c r="AJ12" s="84"/>
      <c r="AK12" s="85"/>
      <c r="AL12" s="84"/>
      <c r="AM12" s="84"/>
      <c r="AN12" s="85"/>
    </row>
    <row r="13" spans="1:40" s="86" customFormat="1" ht="48.75" customHeight="1" x14ac:dyDescent="0.25">
      <c r="A13" s="81"/>
      <c r="B13" s="82" t="s">
        <v>34</v>
      </c>
      <c r="C13" s="80">
        <f t="shared" si="4"/>
        <v>360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>
        <v>360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85"/>
      <c r="AI13" s="84"/>
      <c r="AJ13" s="84"/>
      <c r="AK13" s="85"/>
      <c r="AL13" s="84"/>
      <c r="AM13" s="84"/>
      <c r="AN13" s="85"/>
    </row>
    <row r="14" spans="1:40" s="86" customFormat="1" ht="37.5" customHeight="1" x14ac:dyDescent="0.25">
      <c r="A14" s="81"/>
      <c r="B14" s="82" t="s">
        <v>35</v>
      </c>
      <c r="C14" s="80">
        <v>674.26</v>
      </c>
      <c r="D14" s="87">
        <v>27.76</v>
      </c>
      <c r="E14" s="87">
        <v>43.89</v>
      </c>
      <c r="F14" s="87">
        <v>23.73</v>
      </c>
      <c r="G14" s="87">
        <v>42.26</v>
      </c>
      <c r="H14" s="87">
        <v>43.54</v>
      </c>
      <c r="I14" s="87">
        <v>23.73</v>
      </c>
      <c r="J14" s="87">
        <v>44.92</v>
      </c>
      <c r="K14" s="87">
        <v>28.18</v>
      </c>
      <c r="L14" s="87">
        <v>20.079999999999998</v>
      </c>
      <c r="M14" s="87">
        <v>12.77</v>
      </c>
      <c r="N14" s="87">
        <v>20.92</v>
      </c>
      <c r="O14" s="87">
        <v>15.68</v>
      </c>
      <c r="P14" s="87">
        <v>6.37</v>
      </c>
      <c r="Q14" s="87">
        <v>12.79</v>
      </c>
      <c r="R14" s="87">
        <v>10.050000000000001</v>
      </c>
      <c r="S14" s="87">
        <v>29.29</v>
      </c>
      <c r="T14" s="87">
        <v>25.81</v>
      </c>
      <c r="U14" s="87">
        <v>30.31</v>
      </c>
      <c r="V14" s="87">
        <v>25.39</v>
      </c>
      <c r="W14" s="87">
        <v>12.48</v>
      </c>
      <c r="X14" s="87">
        <v>21.14</v>
      </c>
      <c r="Y14" s="87">
        <v>27.29</v>
      </c>
      <c r="Z14" s="87">
        <v>9.31</v>
      </c>
      <c r="AA14" s="87">
        <v>19.09</v>
      </c>
      <c r="AB14" s="87">
        <v>9.11</v>
      </c>
      <c r="AC14" s="87">
        <v>23.09</v>
      </c>
      <c r="AD14" s="87">
        <v>14.03</v>
      </c>
      <c r="AE14" s="87">
        <v>23.59</v>
      </c>
      <c r="AF14" s="87">
        <v>12.32</v>
      </c>
      <c r="AG14" s="87">
        <v>14.32</v>
      </c>
      <c r="AH14" s="85"/>
      <c r="AI14" s="85"/>
      <c r="AJ14" s="85"/>
      <c r="AK14" s="85"/>
      <c r="AL14" s="85"/>
      <c r="AM14" s="85"/>
      <c r="AN14" s="85"/>
    </row>
    <row r="15" spans="1:40" s="86" customFormat="1" ht="32.25" customHeight="1" x14ac:dyDescent="0.25">
      <c r="A15" s="81"/>
      <c r="B15" s="88" t="s">
        <v>36</v>
      </c>
      <c r="C15" s="83">
        <f t="shared" si="4"/>
        <v>61.040000000000013</v>
      </c>
      <c r="D15" s="70">
        <v>2</v>
      </c>
      <c r="E15" s="70">
        <v>4.0199999999999996</v>
      </c>
      <c r="F15" s="70">
        <v>2.1800000000000002</v>
      </c>
      <c r="G15" s="70">
        <v>2.5</v>
      </c>
      <c r="H15" s="70">
        <v>4.01</v>
      </c>
      <c r="I15" s="70">
        <v>2.1800000000000002</v>
      </c>
      <c r="J15" s="70">
        <v>4.13</v>
      </c>
      <c r="K15" s="70">
        <v>2.59</v>
      </c>
      <c r="L15" s="70">
        <v>1.85</v>
      </c>
      <c r="M15" s="70">
        <v>1.18</v>
      </c>
      <c r="N15" s="70">
        <v>1.93</v>
      </c>
      <c r="O15" s="70">
        <v>1.44</v>
      </c>
      <c r="P15" s="70">
        <v>1.93</v>
      </c>
      <c r="Q15" s="70">
        <v>1.44</v>
      </c>
      <c r="R15" s="70">
        <v>0.59</v>
      </c>
      <c r="S15" s="70">
        <v>1.18</v>
      </c>
      <c r="T15" s="70">
        <v>0.93</v>
      </c>
      <c r="U15" s="70">
        <v>2.7</v>
      </c>
      <c r="V15" s="70">
        <v>2.38</v>
      </c>
      <c r="W15" s="70">
        <v>2.79</v>
      </c>
      <c r="X15" s="70">
        <v>2.34</v>
      </c>
      <c r="Y15" s="70">
        <v>1.24</v>
      </c>
      <c r="Z15" s="70">
        <v>1.95</v>
      </c>
      <c r="AA15" s="70">
        <v>2.5099999999999998</v>
      </c>
      <c r="AB15" s="70">
        <v>0.86</v>
      </c>
      <c r="AC15" s="70">
        <v>1.76</v>
      </c>
      <c r="AD15" s="70">
        <v>0.84</v>
      </c>
      <c r="AE15" s="70">
        <v>2.13</v>
      </c>
      <c r="AF15" s="70">
        <v>1.29</v>
      </c>
      <c r="AG15" s="70">
        <v>2.17</v>
      </c>
      <c r="AH15" s="85"/>
      <c r="AI15" s="84"/>
      <c r="AJ15" s="84"/>
      <c r="AK15" s="85"/>
      <c r="AL15" s="84"/>
      <c r="AM15" s="84"/>
      <c r="AN15" s="85"/>
    </row>
    <row r="16" spans="1:40" s="86" customFormat="1" ht="30" customHeight="1" x14ac:dyDescent="0.25">
      <c r="A16" s="81"/>
      <c r="B16" s="82" t="s">
        <v>37</v>
      </c>
      <c r="C16" s="83">
        <f t="shared" si="4"/>
        <v>95.9</v>
      </c>
      <c r="D16" s="70">
        <f>3.6+0.45</f>
        <v>4.05</v>
      </c>
      <c r="E16" s="70">
        <f>5.4+0.45</f>
        <v>5.8500000000000005</v>
      </c>
      <c r="F16" s="70">
        <f>3+0.45</f>
        <v>3.45</v>
      </c>
      <c r="G16" s="70">
        <f>5.4+0.45</f>
        <v>5.8500000000000005</v>
      </c>
      <c r="H16" s="70">
        <f>5.4+1.5</f>
        <v>6.9</v>
      </c>
      <c r="I16" s="70">
        <f>3+1.5</f>
        <v>4.5</v>
      </c>
      <c r="J16" s="70">
        <f>5.4+0.45</f>
        <v>5.8500000000000005</v>
      </c>
      <c r="K16" s="70">
        <f>0.45+3.6</f>
        <v>4.05</v>
      </c>
      <c r="L16" s="70">
        <f>3+1.5</f>
        <v>4.5</v>
      </c>
      <c r="M16" s="70">
        <f>1.8+0.45</f>
        <v>2.25</v>
      </c>
      <c r="N16" s="70">
        <f>2.4+0.45</f>
        <v>2.85</v>
      </c>
      <c r="O16" s="70">
        <f>1.2+0.45</f>
        <v>1.65</v>
      </c>
      <c r="P16" s="70">
        <f>0.6+1</f>
        <v>1.6</v>
      </c>
      <c r="Q16" s="70">
        <f>0.6+1</f>
        <v>1.6</v>
      </c>
      <c r="R16" s="70">
        <f>0.6+1</f>
        <v>1.6</v>
      </c>
      <c r="S16" s="70">
        <f>4.2+0.45</f>
        <v>4.6500000000000004</v>
      </c>
      <c r="T16" s="70">
        <f>3.6+0.45</f>
        <v>4.05</v>
      </c>
      <c r="U16" s="70">
        <f>4.2+0.45</f>
        <v>4.6500000000000004</v>
      </c>
      <c r="V16" s="70">
        <f>3.6+0.8</f>
        <v>4.4000000000000004</v>
      </c>
      <c r="W16" s="70"/>
      <c r="X16" s="70">
        <v>3</v>
      </c>
      <c r="Y16" s="70">
        <v>3.6</v>
      </c>
      <c r="Z16" s="70">
        <v>1.2</v>
      </c>
      <c r="AA16" s="70">
        <v>2.4</v>
      </c>
      <c r="AB16" s="70">
        <v>1.2</v>
      </c>
      <c r="AC16" s="70">
        <v>3</v>
      </c>
      <c r="AD16" s="70">
        <v>1.8</v>
      </c>
      <c r="AE16" s="70">
        <v>3</v>
      </c>
      <c r="AF16" s="70">
        <v>0.6</v>
      </c>
      <c r="AG16" s="70">
        <v>1.8</v>
      </c>
      <c r="AH16" s="85"/>
      <c r="AI16" s="85"/>
      <c r="AJ16" s="85"/>
      <c r="AK16" s="85"/>
      <c r="AL16" s="85"/>
      <c r="AM16" s="85"/>
      <c r="AN16" s="85"/>
    </row>
    <row r="17" spans="1:40" s="86" customFormat="1" ht="30" customHeight="1" x14ac:dyDescent="0.25">
      <c r="A17" s="89"/>
      <c r="B17" s="82" t="s">
        <v>95</v>
      </c>
      <c r="C17" s="83">
        <f t="shared" si="4"/>
        <v>147.19999999999996</v>
      </c>
      <c r="D17" s="70">
        <v>6.1</v>
      </c>
      <c r="E17" s="70">
        <v>9.6</v>
      </c>
      <c r="F17" s="70">
        <v>5.2</v>
      </c>
      <c r="G17" s="70">
        <v>9.1999999999999993</v>
      </c>
      <c r="H17" s="70">
        <v>9.5</v>
      </c>
      <c r="I17" s="70">
        <v>5.2</v>
      </c>
      <c r="J17" s="70">
        <v>9.8000000000000007</v>
      </c>
      <c r="K17" s="70">
        <v>6.2</v>
      </c>
      <c r="L17" s="70">
        <v>4.4000000000000004</v>
      </c>
      <c r="M17" s="70">
        <v>2.8</v>
      </c>
      <c r="N17" s="70">
        <v>4.5999999999999996</v>
      </c>
      <c r="O17" s="70">
        <v>3.4</v>
      </c>
      <c r="P17" s="70">
        <v>1.4</v>
      </c>
      <c r="Q17" s="70">
        <v>2.8</v>
      </c>
      <c r="R17" s="70">
        <v>2.2000000000000002</v>
      </c>
      <c r="S17" s="70">
        <v>6.4</v>
      </c>
      <c r="T17" s="70">
        <v>5.6</v>
      </c>
      <c r="U17" s="70">
        <v>6.6</v>
      </c>
      <c r="V17" s="70">
        <v>5.5</v>
      </c>
      <c r="W17" s="70">
        <v>2.9</v>
      </c>
      <c r="X17" s="70">
        <v>4.5999999999999996</v>
      </c>
      <c r="Y17" s="70">
        <v>6</v>
      </c>
      <c r="Z17" s="70">
        <v>2</v>
      </c>
      <c r="AA17" s="70">
        <v>4.2</v>
      </c>
      <c r="AB17" s="70">
        <v>2</v>
      </c>
      <c r="AC17" s="70">
        <v>5</v>
      </c>
      <c r="AD17" s="70">
        <v>3.1</v>
      </c>
      <c r="AE17" s="70">
        <v>5.0999999999999996</v>
      </c>
      <c r="AF17" s="70">
        <v>2.7</v>
      </c>
      <c r="AG17" s="70">
        <v>3.1</v>
      </c>
      <c r="AH17" s="85"/>
      <c r="AI17" s="85"/>
      <c r="AJ17" s="85"/>
      <c r="AK17" s="85"/>
      <c r="AL17" s="85"/>
      <c r="AM17" s="85"/>
      <c r="AN17" s="85"/>
    </row>
    <row r="18" spans="1:40" s="86" customFormat="1" ht="32.25" customHeight="1" x14ac:dyDescent="0.25">
      <c r="A18" s="90"/>
      <c r="B18" s="88" t="s">
        <v>38</v>
      </c>
      <c r="C18" s="83">
        <f t="shared" si="4"/>
        <v>58.989999999999995</v>
      </c>
      <c r="D18" s="70">
        <v>6</v>
      </c>
      <c r="E18" s="70">
        <v>4.5</v>
      </c>
      <c r="F18" s="70">
        <v>3.5</v>
      </c>
      <c r="G18" s="70">
        <v>4.25</v>
      </c>
      <c r="H18" s="70">
        <v>2.5</v>
      </c>
      <c r="I18" s="70">
        <v>2.1</v>
      </c>
      <c r="J18" s="70">
        <v>0.5</v>
      </c>
      <c r="K18" s="70">
        <v>0.3</v>
      </c>
      <c r="L18" s="70">
        <v>1.38</v>
      </c>
      <c r="M18" s="70">
        <v>2.2999999999999998</v>
      </c>
      <c r="N18" s="70">
        <v>3</v>
      </c>
      <c r="O18" s="70">
        <v>2.2999999999999998</v>
      </c>
      <c r="P18" s="70">
        <v>0.5</v>
      </c>
      <c r="Q18" s="70">
        <v>2.2999999999999998</v>
      </c>
      <c r="R18" s="70">
        <v>2.2999999999999998</v>
      </c>
      <c r="S18" s="70">
        <v>0.9</v>
      </c>
      <c r="T18" s="70">
        <v>1.5</v>
      </c>
      <c r="U18" s="70">
        <v>1.72</v>
      </c>
      <c r="V18" s="70"/>
      <c r="W18" s="70">
        <v>5.6</v>
      </c>
      <c r="X18" s="70">
        <v>0.3</v>
      </c>
      <c r="Y18" s="70">
        <v>2.81</v>
      </c>
      <c r="Z18" s="70">
        <v>0.68</v>
      </c>
      <c r="AA18" s="70">
        <v>0.45</v>
      </c>
      <c r="AB18" s="70">
        <v>2.2999999999999998</v>
      </c>
      <c r="AC18" s="70">
        <v>1</v>
      </c>
      <c r="AD18" s="70"/>
      <c r="AE18" s="70">
        <v>1.5</v>
      </c>
      <c r="AF18" s="70">
        <v>1.5</v>
      </c>
      <c r="AG18" s="70">
        <v>1</v>
      </c>
      <c r="AH18" s="91"/>
      <c r="AI18" s="91"/>
      <c r="AJ18" s="91"/>
      <c r="AK18" s="91"/>
      <c r="AL18" s="91"/>
      <c r="AM18" s="91"/>
      <c r="AN18" s="91"/>
    </row>
    <row r="19" spans="1:40" s="86" customFormat="1" ht="32.25" customHeight="1" x14ac:dyDescent="0.25">
      <c r="A19" s="90"/>
      <c r="B19" s="88" t="s">
        <v>101</v>
      </c>
      <c r="C19" s="83">
        <v>251.35</v>
      </c>
      <c r="D19" s="70">
        <v>10.35</v>
      </c>
      <c r="E19" s="70">
        <v>16.36</v>
      </c>
      <c r="F19" s="70">
        <v>8.85</v>
      </c>
      <c r="G19" s="70">
        <v>15.75</v>
      </c>
      <c r="H19" s="70">
        <v>16.23</v>
      </c>
      <c r="I19" s="70">
        <v>8.85</v>
      </c>
      <c r="J19" s="70">
        <v>16.75</v>
      </c>
      <c r="K19" s="70">
        <v>10.5</v>
      </c>
      <c r="L19" s="70">
        <v>7.48</v>
      </c>
      <c r="M19" s="70">
        <v>4.76</v>
      </c>
      <c r="N19" s="70">
        <v>7.8</v>
      </c>
      <c r="O19" s="70">
        <v>5.85</v>
      </c>
      <c r="P19" s="70">
        <v>2.38</v>
      </c>
      <c r="Q19" s="70">
        <v>4.7699999999999996</v>
      </c>
      <c r="R19" s="70">
        <v>3.75</v>
      </c>
      <c r="S19" s="70">
        <v>10.92</v>
      </c>
      <c r="T19" s="70">
        <v>9.6199999999999992</v>
      </c>
      <c r="U19" s="70">
        <v>11.31</v>
      </c>
      <c r="V19" s="70">
        <v>9.4600000000000009</v>
      </c>
      <c r="W19" s="70">
        <v>5.03</v>
      </c>
      <c r="X19" s="70">
        <v>7.88</v>
      </c>
      <c r="Y19" s="70">
        <v>10.17</v>
      </c>
      <c r="Z19" s="70">
        <v>3.47</v>
      </c>
      <c r="AA19" s="70">
        <v>7.12</v>
      </c>
      <c r="AB19" s="70">
        <v>3.4</v>
      </c>
      <c r="AC19" s="70">
        <v>8.61</v>
      </c>
      <c r="AD19" s="70">
        <v>5.23</v>
      </c>
      <c r="AE19" s="70">
        <v>8.7899999999999991</v>
      </c>
      <c r="AF19" s="70">
        <v>4.59</v>
      </c>
      <c r="AG19" s="70">
        <v>5.34</v>
      </c>
      <c r="AH19" s="91"/>
      <c r="AI19" s="91"/>
      <c r="AJ19" s="91"/>
      <c r="AK19" s="91"/>
      <c r="AL19" s="91"/>
      <c r="AM19" s="91"/>
      <c r="AN19" s="91"/>
    </row>
    <row r="20" spans="1:40" s="86" customFormat="1" ht="32.25" customHeight="1" x14ac:dyDescent="0.25">
      <c r="A20" s="90"/>
      <c r="B20" s="88" t="s">
        <v>102</v>
      </c>
      <c r="C20" s="83">
        <f t="shared" si="4"/>
        <v>200.42</v>
      </c>
      <c r="D20" s="70">
        <v>9.35</v>
      </c>
      <c r="E20" s="70">
        <v>12</v>
      </c>
      <c r="F20" s="70">
        <v>7.25</v>
      </c>
      <c r="G20" s="70">
        <v>12.35</v>
      </c>
      <c r="H20" s="70">
        <v>12.36</v>
      </c>
      <c r="I20" s="70">
        <v>7.85</v>
      </c>
      <c r="J20" s="70">
        <v>15.75</v>
      </c>
      <c r="K20" s="70">
        <v>9.85</v>
      </c>
      <c r="L20" s="70">
        <v>5.68</v>
      </c>
      <c r="M20" s="70">
        <v>3.25</v>
      </c>
      <c r="N20" s="70">
        <v>6.35</v>
      </c>
      <c r="O20" s="70">
        <v>4.0999999999999996</v>
      </c>
      <c r="P20" s="70">
        <v>1.25</v>
      </c>
      <c r="Q20" s="70">
        <v>3.65</v>
      </c>
      <c r="R20" s="70">
        <v>2.14</v>
      </c>
      <c r="S20" s="70">
        <v>7.35</v>
      </c>
      <c r="T20" s="70">
        <v>8.25</v>
      </c>
      <c r="U20" s="70">
        <v>10.35</v>
      </c>
      <c r="V20" s="70">
        <v>8.4499999999999993</v>
      </c>
      <c r="W20" s="70">
        <v>4.03</v>
      </c>
      <c r="X20" s="70">
        <v>5.55</v>
      </c>
      <c r="Y20" s="70">
        <v>8.36</v>
      </c>
      <c r="Z20" s="70">
        <v>2.65</v>
      </c>
      <c r="AA20" s="70">
        <v>5.85</v>
      </c>
      <c r="AB20" s="70">
        <v>2.4</v>
      </c>
      <c r="AC20" s="70">
        <v>7.63</v>
      </c>
      <c r="AD20" s="70">
        <v>4.3600000000000003</v>
      </c>
      <c r="AE20" s="70">
        <v>6.42</v>
      </c>
      <c r="AF20" s="70">
        <v>3.25</v>
      </c>
      <c r="AG20" s="70">
        <v>2.34</v>
      </c>
      <c r="AH20" s="91"/>
      <c r="AI20" s="91"/>
      <c r="AJ20" s="91"/>
      <c r="AK20" s="91"/>
      <c r="AL20" s="91"/>
      <c r="AM20" s="91"/>
      <c r="AN20" s="91"/>
    </row>
    <row r="21" spans="1:40" s="97" customFormat="1" ht="30" customHeight="1" x14ac:dyDescent="0.3">
      <c r="A21" s="92"/>
      <c r="B21" s="93" t="s">
        <v>39</v>
      </c>
      <c r="C21" s="94">
        <f t="shared" ref="C21:X21" si="5">C7/C22*100</f>
        <v>100.66887246913439</v>
      </c>
      <c r="D21" s="94">
        <f t="shared" si="5"/>
        <v>103.609428073579</v>
      </c>
      <c r="E21" s="94">
        <f t="shared" si="5"/>
        <v>100.00846431559221</v>
      </c>
      <c r="F21" s="94">
        <f t="shared" si="5"/>
        <v>100.69668654427848</v>
      </c>
      <c r="G21" s="94">
        <f t="shared" si="5"/>
        <v>100.05685798319919</v>
      </c>
      <c r="H21" s="94">
        <f t="shared" si="5"/>
        <v>100.58638140087859</v>
      </c>
      <c r="I21" s="94">
        <f t="shared" si="5"/>
        <v>99.938620516569728</v>
      </c>
      <c r="J21" s="94">
        <f t="shared" si="5"/>
        <v>100.48413194494744</v>
      </c>
      <c r="K21" s="94">
        <f t="shared" si="5"/>
        <v>100.54637325642206</v>
      </c>
      <c r="L21" s="94">
        <f t="shared" si="5"/>
        <v>100.0598517285727</v>
      </c>
      <c r="M21" s="94">
        <f t="shared" si="5"/>
        <v>99.84523055813888</v>
      </c>
      <c r="N21" s="94">
        <f t="shared" si="5"/>
        <v>100.09389407324471</v>
      </c>
      <c r="O21" s="94">
        <f t="shared" si="5"/>
        <v>99.989671536067931</v>
      </c>
      <c r="P21" s="94">
        <f t="shared" si="5"/>
        <v>100.15170038790562</v>
      </c>
      <c r="Q21" s="94">
        <f t="shared" si="5"/>
        <v>92.898301519602953</v>
      </c>
      <c r="R21" s="94">
        <f t="shared" si="5"/>
        <v>92.850528751706634</v>
      </c>
      <c r="S21" s="94">
        <f t="shared" si="5"/>
        <v>100.05154329786751</v>
      </c>
      <c r="T21" s="94">
        <f t="shared" si="5"/>
        <v>100.05027390709952</v>
      </c>
      <c r="U21" s="94">
        <f t="shared" si="5"/>
        <v>100.08692795152179</v>
      </c>
      <c r="V21" s="94">
        <f t="shared" si="5"/>
        <v>100.09656281469357</v>
      </c>
      <c r="W21" s="94">
        <f t="shared" si="5"/>
        <v>100.10131796046058</v>
      </c>
      <c r="X21" s="94">
        <f t="shared" si="5"/>
        <v>100.08687407843794</v>
      </c>
      <c r="Y21" s="94">
        <f t="shared" ref="Y21:AG21" si="6">Y7/Y22*100</f>
        <v>100.04158624560534</v>
      </c>
      <c r="Z21" s="94">
        <f t="shared" si="6"/>
        <v>100.15939912892158</v>
      </c>
      <c r="AA21" s="94">
        <f t="shared" si="6"/>
        <v>100.10739044011846</v>
      </c>
      <c r="AB21" s="94">
        <f t="shared" si="6"/>
        <v>100.07484032365073</v>
      </c>
      <c r="AC21" s="94">
        <f t="shared" si="6"/>
        <v>100.06673572270637</v>
      </c>
      <c r="AD21" s="94">
        <f t="shared" si="6"/>
        <v>100.05957475590314</v>
      </c>
      <c r="AE21" s="94">
        <f t="shared" si="6"/>
        <v>100.07650765529183</v>
      </c>
      <c r="AF21" s="94">
        <f t="shared" si="6"/>
        <v>100.08653026090823</v>
      </c>
      <c r="AG21" s="94">
        <f t="shared" si="6"/>
        <v>100.1224904889738</v>
      </c>
      <c r="AH21" s="95"/>
      <c r="AI21" s="96"/>
      <c r="AJ21" s="96"/>
      <c r="AK21" s="96"/>
      <c r="AL21" s="96"/>
      <c r="AM21" s="96"/>
      <c r="AN21" s="96"/>
    </row>
    <row r="22" spans="1:40" s="56" customFormat="1" ht="33" customHeight="1" x14ac:dyDescent="0.3">
      <c r="A22" s="72">
        <v>1</v>
      </c>
      <c r="B22" s="73" t="s">
        <v>40</v>
      </c>
      <c r="C22" s="69">
        <f>C23+C24+C25</f>
        <v>93650.999257100018</v>
      </c>
      <c r="D22" s="69">
        <f t="shared" ref="D22:X22" si="7">D23+D24+D25</f>
        <v>3796.9789840999997</v>
      </c>
      <c r="E22" s="69">
        <f t="shared" si="7"/>
        <v>6076.8126424000002</v>
      </c>
      <c r="F22" s="69">
        <f t="shared" si="7"/>
        <v>3276.5547127999998</v>
      </c>
      <c r="G22" s="69">
        <f t="shared" si="7"/>
        <v>5733.5836000000008</v>
      </c>
      <c r="H22" s="69">
        <f t="shared" si="7"/>
        <v>6130.6722119999995</v>
      </c>
      <c r="I22" s="69">
        <f t="shared" si="7"/>
        <v>3225.8335999999999</v>
      </c>
      <c r="J22" s="69">
        <f t="shared" si="7"/>
        <v>6170.9448243999996</v>
      </c>
      <c r="K22" s="69">
        <f t="shared" si="7"/>
        <v>3863.1489099999999</v>
      </c>
      <c r="L22" s="69">
        <f t="shared" si="7"/>
        <v>2740.1046538000005</v>
      </c>
      <c r="M22" s="69">
        <f t="shared" si="7"/>
        <v>1738.0692000000001</v>
      </c>
      <c r="N22" s="69">
        <f t="shared" si="7"/>
        <v>2854.2802622000004</v>
      </c>
      <c r="O22" s="69">
        <f t="shared" si="7"/>
        <v>2130.0360000000005</v>
      </c>
      <c r="P22" s="69">
        <f t="shared" si="7"/>
        <v>1259.0607225000003</v>
      </c>
      <c r="Q22" s="69">
        <f t="shared" si="7"/>
        <v>1871.2256000000002</v>
      </c>
      <c r="R22" s="69">
        <f t="shared" si="7"/>
        <v>1471.3144</v>
      </c>
      <c r="S22" s="69">
        <f t="shared" si="7"/>
        <v>3996.6398838000005</v>
      </c>
      <c r="T22" s="69">
        <f t="shared" si="7"/>
        <v>3500.8219999999997</v>
      </c>
      <c r="U22" s="69">
        <f t="shared" si="7"/>
        <v>4118.3531158000005</v>
      </c>
      <c r="V22" s="69">
        <f t="shared" si="7"/>
        <v>3676.3634233999996</v>
      </c>
      <c r="W22" s="69">
        <f t="shared" si="7"/>
        <v>1954.2438388999999</v>
      </c>
      <c r="X22" s="69">
        <f t="shared" si="7"/>
        <v>2923.7720223000001</v>
      </c>
      <c r="Y22" s="69">
        <f t="shared" ref="Y22:AG22" si="8">Y23+Y24+Y25</f>
        <v>3943.6115863000005</v>
      </c>
      <c r="Z22" s="69">
        <f t="shared" si="8"/>
        <v>1311.174041</v>
      </c>
      <c r="AA22" s="69">
        <f t="shared" si="8"/>
        <v>2588.6848</v>
      </c>
      <c r="AB22" s="69">
        <f t="shared" si="8"/>
        <v>1322.8162996999999</v>
      </c>
      <c r="AC22" s="69">
        <f t="shared" si="8"/>
        <v>3131.7559999999999</v>
      </c>
      <c r="AD22" s="69">
        <f t="shared" si="8"/>
        <v>1930.3478169</v>
      </c>
      <c r="AE22" s="69">
        <f t="shared" si="8"/>
        <v>3228.4351031000001</v>
      </c>
      <c r="AF22" s="69">
        <f t="shared" si="8"/>
        <v>1687.2710017000004</v>
      </c>
      <c r="AG22" s="69">
        <f t="shared" si="8"/>
        <v>1943.008</v>
      </c>
      <c r="AH22" s="75"/>
      <c r="AI22" s="74"/>
      <c r="AJ22" s="74"/>
      <c r="AK22" s="75"/>
      <c r="AL22" s="74"/>
      <c r="AM22" s="74"/>
      <c r="AN22" s="75"/>
    </row>
    <row r="23" spans="1:40" s="56" customFormat="1" ht="37.5" customHeight="1" x14ac:dyDescent="0.3">
      <c r="A23" s="72">
        <v>2</v>
      </c>
      <c r="B23" s="76" t="s">
        <v>29</v>
      </c>
      <c r="C23" s="77">
        <f>D23+E23+F23+G23+H23+I23+J23+K23+L23+M23+N23+O23+P23+Q23+R23+S23+T23+U23+V23+W23+X23+Y23+Z23+AA23+AB23+AC23+AD23+AE23+AF23+AG23</f>
        <v>84440.555200000017</v>
      </c>
      <c r="D23" s="78">
        <f>25.73*11.24*12-99.08</f>
        <v>3371.3824</v>
      </c>
      <c r="E23" s="78">
        <f>25.73*17.77*12</f>
        <v>5486.6652000000004</v>
      </c>
      <c r="F23" s="78">
        <f>25.73*9.61*12</f>
        <v>2967.1835999999998</v>
      </c>
      <c r="G23" s="78">
        <f>25.73*17.11*12</f>
        <v>5282.8836000000001</v>
      </c>
      <c r="H23" s="78">
        <f>25.73*17.63*12</f>
        <v>5443.4387999999999</v>
      </c>
      <c r="I23" s="78">
        <f>25.73*9.61*12</f>
        <v>2967.1835999999998</v>
      </c>
      <c r="J23" s="78">
        <f>25.73*18.19*12</f>
        <v>5616.3444</v>
      </c>
      <c r="K23" s="78">
        <f>25.73*11.41*12</f>
        <v>3522.9515999999999</v>
      </c>
      <c r="L23" s="78">
        <f>25.73*8.13*12</f>
        <v>2510.2188000000006</v>
      </c>
      <c r="M23" s="78">
        <f>25.73*5.17*12</f>
        <v>1596.2892000000002</v>
      </c>
      <c r="N23" s="78">
        <f>25.73*8.47*12</f>
        <v>2615.1972000000005</v>
      </c>
      <c r="O23" s="78">
        <f>25.73*6.35*12</f>
        <v>1960.6260000000002</v>
      </c>
      <c r="P23" s="78">
        <f>25.73*2.58*12</f>
        <v>796.60080000000016</v>
      </c>
      <c r="Q23" s="78">
        <f>27.91*5.18*12</f>
        <v>1734.8856000000001</v>
      </c>
      <c r="R23" s="78">
        <f>27.91*4.07*12</f>
        <v>1363.1244000000002</v>
      </c>
      <c r="S23" s="78">
        <f>25.73*11.86*12</f>
        <v>3661.8936000000003</v>
      </c>
      <c r="T23" s="78">
        <f>25.73*10.45*12</f>
        <v>3226.5419999999995</v>
      </c>
      <c r="U23" s="78">
        <f>25.73*12.28*12</f>
        <v>3791.5727999999999</v>
      </c>
      <c r="V23" s="78">
        <f>25.73*10.28*12</f>
        <v>3174.0527999999995</v>
      </c>
      <c r="W23" s="78">
        <f>25.73*5.46*12</f>
        <v>1685.8296</v>
      </c>
      <c r="X23" s="78">
        <f>25.73*8.56*12</f>
        <v>2642.9856</v>
      </c>
      <c r="Y23" s="78">
        <f>25.73*11.05*12</f>
        <v>3411.7980000000002</v>
      </c>
      <c r="Z23" s="78">
        <f>25.73*3.77*12</f>
        <v>1164.0252</v>
      </c>
      <c r="AA23" s="78">
        <f>25.73*7.73*12</f>
        <v>2386.7148000000002</v>
      </c>
      <c r="AB23" s="78">
        <f>25.73*3.69*12</f>
        <v>1139.3244</v>
      </c>
      <c r="AC23" s="78">
        <f>25.73*9.35*12</f>
        <v>2886.9059999999999</v>
      </c>
      <c r="AD23" s="78">
        <f>25.73*5.68*12</f>
        <v>1753.7568000000001</v>
      </c>
      <c r="AE23" s="78">
        <f>25.73*9.55*12</f>
        <v>2948.6580000000004</v>
      </c>
      <c r="AF23" s="78">
        <f>25.73*4.99*12</f>
        <v>1540.7124000000003</v>
      </c>
      <c r="AG23" s="78">
        <f>25.73*5.8*12</f>
        <v>1790.808</v>
      </c>
      <c r="AH23" s="75"/>
      <c r="AI23" s="74"/>
      <c r="AJ23" s="74"/>
      <c r="AK23" s="75"/>
      <c r="AL23" s="74"/>
      <c r="AM23" s="74"/>
      <c r="AN23" s="75"/>
    </row>
    <row r="24" spans="1:40" s="56" customFormat="1" ht="37.5" customHeight="1" x14ac:dyDescent="0.3">
      <c r="A24" s="72">
        <v>3</v>
      </c>
      <c r="B24" s="79" t="s">
        <v>30</v>
      </c>
      <c r="C24" s="77">
        <v>5976.74</v>
      </c>
      <c r="D24" s="80">
        <v>246.06</v>
      </c>
      <c r="E24" s="80">
        <v>389.01</v>
      </c>
      <c r="F24" s="80">
        <v>210.37</v>
      </c>
      <c r="G24" s="80">
        <v>374.56</v>
      </c>
      <c r="H24" s="80">
        <v>385.94</v>
      </c>
      <c r="I24" s="80">
        <v>210.37</v>
      </c>
      <c r="J24" s="80">
        <v>398.2</v>
      </c>
      <c r="K24" s="80">
        <v>249.78</v>
      </c>
      <c r="L24" s="80">
        <v>177.98</v>
      </c>
      <c r="M24" s="80">
        <v>113.18</v>
      </c>
      <c r="N24" s="80">
        <v>185.42</v>
      </c>
      <c r="O24" s="80">
        <v>139.01</v>
      </c>
      <c r="P24" s="80">
        <v>56.48</v>
      </c>
      <c r="Q24" s="80">
        <v>113.4</v>
      </c>
      <c r="R24" s="80">
        <v>89.1</v>
      </c>
      <c r="S24" s="80">
        <v>259.63</v>
      </c>
      <c r="T24" s="80">
        <v>228.76</v>
      </c>
      <c r="U24" s="80">
        <v>268.82</v>
      </c>
      <c r="V24" s="80">
        <v>225.04</v>
      </c>
      <c r="W24" s="80">
        <v>119.53</v>
      </c>
      <c r="X24" s="80">
        <v>187.5</v>
      </c>
      <c r="Y24" s="80">
        <v>241.9</v>
      </c>
      <c r="Z24" s="80">
        <v>82.53</v>
      </c>
      <c r="AA24" s="80">
        <v>169.22</v>
      </c>
      <c r="AB24" s="80">
        <v>80.78</v>
      </c>
      <c r="AC24" s="80">
        <v>204.68</v>
      </c>
      <c r="AD24" s="80">
        <v>124.34</v>
      </c>
      <c r="AE24" s="80">
        <v>209.06</v>
      </c>
      <c r="AF24" s="80">
        <v>109.24</v>
      </c>
      <c r="AG24" s="80">
        <v>126.97</v>
      </c>
      <c r="AH24" s="75"/>
      <c r="AI24" s="74"/>
      <c r="AJ24" s="74"/>
      <c r="AK24" s="75"/>
      <c r="AL24" s="74"/>
      <c r="AM24" s="74"/>
      <c r="AN24" s="75"/>
    </row>
    <row r="25" spans="1:40" ht="29.25" customHeight="1" x14ac:dyDescent="0.3">
      <c r="A25" s="72">
        <v>4</v>
      </c>
      <c r="B25" s="79" t="s">
        <v>31</v>
      </c>
      <c r="C25" s="80">
        <f>C26+C27+C28+C29+C30+C31+C32+C33</f>
        <v>3233.7040570999998</v>
      </c>
      <c r="D25" s="80">
        <f t="shared" ref="D25:AG25" si="9">D26+D27+D28+D29+D30+D31+D32</f>
        <v>179.5365841</v>
      </c>
      <c r="E25" s="80">
        <f t="shared" si="9"/>
        <v>201.1374424</v>
      </c>
      <c r="F25" s="80">
        <f t="shared" si="9"/>
        <v>99.001112800000001</v>
      </c>
      <c r="G25" s="80">
        <f t="shared" si="9"/>
        <v>76.14</v>
      </c>
      <c r="H25" s="80">
        <f t="shared" si="9"/>
        <v>301.29341199999993</v>
      </c>
      <c r="I25" s="80">
        <f t="shared" si="9"/>
        <v>48.28</v>
      </c>
      <c r="J25" s="80">
        <f t="shared" si="9"/>
        <v>156.40042439999999</v>
      </c>
      <c r="K25" s="80">
        <f t="shared" si="9"/>
        <v>90.417310000000001</v>
      </c>
      <c r="L25" s="80">
        <f t="shared" si="9"/>
        <v>51.90585380000001</v>
      </c>
      <c r="M25" s="80">
        <f t="shared" si="9"/>
        <v>28.6</v>
      </c>
      <c r="N25" s="80">
        <f t="shared" si="9"/>
        <v>53.663062199999999</v>
      </c>
      <c r="O25" s="80">
        <f t="shared" si="9"/>
        <v>30.4</v>
      </c>
      <c r="P25" s="80">
        <f t="shared" si="9"/>
        <v>405.97992250000004</v>
      </c>
      <c r="Q25" s="80">
        <f t="shared" si="9"/>
        <v>22.94</v>
      </c>
      <c r="R25" s="80">
        <f t="shared" si="9"/>
        <v>19.090000000000003</v>
      </c>
      <c r="S25" s="80">
        <f t="shared" si="9"/>
        <v>75.116283800000005</v>
      </c>
      <c r="T25" s="80">
        <f t="shared" si="9"/>
        <v>45.519999999999996</v>
      </c>
      <c r="U25" s="80">
        <f t="shared" si="9"/>
        <v>57.960315800000004</v>
      </c>
      <c r="V25" s="80">
        <f t="shared" si="9"/>
        <v>277.27062340000009</v>
      </c>
      <c r="W25" s="80">
        <f t="shared" si="9"/>
        <v>148.88423889999999</v>
      </c>
      <c r="X25" s="80">
        <f t="shared" si="9"/>
        <v>93.286422299999998</v>
      </c>
      <c r="Y25" s="80">
        <f t="shared" si="9"/>
        <v>289.91358630000002</v>
      </c>
      <c r="Z25" s="80">
        <f t="shared" si="9"/>
        <v>64.618841000000018</v>
      </c>
      <c r="AA25" s="80">
        <f t="shared" si="9"/>
        <v>32.75</v>
      </c>
      <c r="AB25" s="80">
        <f t="shared" si="9"/>
        <v>102.7118997</v>
      </c>
      <c r="AC25" s="80">
        <f t="shared" si="9"/>
        <v>40.17</v>
      </c>
      <c r="AD25" s="80">
        <f t="shared" si="9"/>
        <v>52.251016899999996</v>
      </c>
      <c r="AE25" s="80">
        <f t="shared" si="9"/>
        <v>70.717103100000003</v>
      </c>
      <c r="AF25" s="80">
        <f t="shared" si="9"/>
        <v>37.318601700000002</v>
      </c>
      <c r="AG25" s="80">
        <f t="shared" si="9"/>
        <v>25.23</v>
      </c>
      <c r="AH25" s="75"/>
      <c r="AK25" s="75"/>
      <c r="AN25" s="75"/>
    </row>
    <row r="26" spans="1:40" s="86" customFormat="1" ht="30" customHeight="1" x14ac:dyDescent="0.25">
      <c r="A26" s="81"/>
      <c r="B26" s="82" t="s">
        <v>32</v>
      </c>
      <c r="C26" s="83">
        <f t="shared" ref="C26" si="10">D26+E26+F26+G26+H26+I26+J26+K26+L26+M26+N26+O26+P26+Q26+R26+S26+T26+U26+V26+W26+X26+Y26+Z26+AA26+AB26+AC26+AD26+AE26+AF26+AG26</f>
        <v>1595.6140571000003</v>
      </c>
      <c r="D26" s="70">
        <f>0.28101*25.73*17</f>
        <v>122.91658409999999</v>
      </c>
      <c r="E26" s="70">
        <f>0.39674*25.73*12</f>
        <v>122.4974424</v>
      </c>
      <c r="F26" s="70">
        <f>0.15378*25.73*12+2.74</f>
        <v>50.221112800000007</v>
      </c>
      <c r="G26" s="70"/>
      <c r="H26" s="70">
        <f>0.58296*25.73*15</f>
        <v>224.99341200000001</v>
      </c>
      <c r="I26" s="70"/>
      <c r="J26" s="70">
        <f>0.23956*25.73*13</f>
        <v>80.130424399999995</v>
      </c>
      <c r="K26" s="70">
        <f>0.13725*25.73*12</f>
        <v>42.377310000000001</v>
      </c>
      <c r="L26" s="70">
        <f>0.03218*25.73*17</f>
        <v>14.075853800000001</v>
      </c>
      <c r="M26" s="70"/>
      <c r="N26" s="70">
        <f>0.03542*25.73*17</f>
        <v>15.493062200000001</v>
      </c>
      <c r="O26" s="70"/>
      <c r="P26" s="70">
        <f>0.07725*25.73*17</f>
        <v>33.789922500000003</v>
      </c>
      <c r="Q26" s="70"/>
      <c r="R26" s="70"/>
      <c r="S26" s="70">
        <f>0.05518*25.73*17</f>
        <v>24.136283800000001</v>
      </c>
      <c r="T26" s="70"/>
      <c r="U26" s="70">
        <f>0.01038*25.73*17</f>
        <v>4.5403158000000001</v>
      </c>
      <c r="V26" s="70">
        <f>0.53474*25.73*17</f>
        <v>233.90062340000003</v>
      </c>
      <c r="W26" s="70">
        <f>0.27929*25.73*17</f>
        <v>122.1642389</v>
      </c>
      <c r="X26" s="70">
        <f>0.13003*25.73*17</f>
        <v>56.876422300000002</v>
      </c>
      <c r="Y26" s="70">
        <f>0.55043*25.73*17</f>
        <v>240.76358630000001</v>
      </c>
      <c r="Z26" s="70">
        <f>0.1101*25.73*17</f>
        <v>48.158841000000002</v>
      </c>
      <c r="AA26" s="70"/>
      <c r="AB26" s="70">
        <f>0.19417*25.73*17</f>
        <v>84.931899700000002</v>
      </c>
      <c r="AC26" s="70"/>
      <c r="AD26" s="70">
        <f>0.06509*25.73*17</f>
        <v>28.471016899999995</v>
      </c>
      <c r="AE26" s="70">
        <f>0.06691*25.73*17</f>
        <v>29.2671031</v>
      </c>
      <c r="AF26" s="70">
        <f>0.03637*25.73*17</f>
        <v>15.9086017</v>
      </c>
      <c r="AG26" s="70"/>
      <c r="AH26" s="85"/>
      <c r="AI26" s="84"/>
      <c r="AJ26" s="84"/>
      <c r="AK26" s="85"/>
      <c r="AL26" s="84"/>
      <c r="AM26" s="84"/>
      <c r="AN26" s="85"/>
    </row>
    <row r="27" spans="1:40" s="86" customFormat="1" ht="37.5" customHeight="1" x14ac:dyDescent="0.25">
      <c r="A27" s="81"/>
      <c r="B27" s="82" t="s">
        <v>33</v>
      </c>
      <c r="C27" s="83">
        <f t="shared" ref="C27:C33" si="11">D27+E27+F27+G27+H27+I27+J27+K27+L27+M27+N27+O27+P27+Q27+R27+S27+T27+U27+V27+W27+X27+Y27+Z27+AA27+AB27+AC27+AD27+AE27+AF27+AG27</f>
        <v>405.89999999999981</v>
      </c>
      <c r="D27" s="70">
        <f>16.77-1.5</f>
        <v>15.27</v>
      </c>
      <c r="E27" s="70">
        <v>26.52</v>
      </c>
      <c r="F27" s="70">
        <v>14.34</v>
      </c>
      <c r="G27" s="70">
        <v>25.53</v>
      </c>
      <c r="H27" s="70">
        <v>26.31</v>
      </c>
      <c r="I27" s="70">
        <v>14.34</v>
      </c>
      <c r="J27" s="70">
        <v>27.14</v>
      </c>
      <c r="K27" s="70">
        <v>17.03</v>
      </c>
      <c r="L27" s="70">
        <v>12.13</v>
      </c>
      <c r="M27" s="70">
        <v>7.71</v>
      </c>
      <c r="N27" s="70">
        <v>12.64</v>
      </c>
      <c r="O27" s="70">
        <v>9.48</v>
      </c>
      <c r="P27" s="70">
        <v>3.85</v>
      </c>
      <c r="Q27" s="70">
        <v>7.73</v>
      </c>
      <c r="R27" s="70">
        <v>6.07</v>
      </c>
      <c r="S27" s="70">
        <v>17.7</v>
      </c>
      <c r="T27" s="70">
        <v>15.59</v>
      </c>
      <c r="U27" s="70">
        <v>18.32</v>
      </c>
      <c r="V27" s="70">
        <v>15.34</v>
      </c>
      <c r="W27" s="70">
        <v>8.15</v>
      </c>
      <c r="X27" s="70">
        <v>12.77</v>
      </c>
      <c r="Y27" s="70">
        <v>16.489999999999998</v>
      </c>
      <c r="Z27" s="70">
        <v>5.63</v>
      </c>
      <c r="AA27" s="70">
        <v>11.53</v>
      </c>
      <c r="AB27" s="70">
        <v>5.51</v>
      </c>
      <c r="AC27" s="70">
        <v>13.95</v>
      </c>
      <c r="AD27" s="70">
        <v>8.48</v>
      </c>
      <c r="AE27" s="70">
        <v>14.25</v>
      </c>
      <c r="AF27" s="70">
        <v>7.45</v>
      </c>
      <c r="AG27" s="70">
        <v>8.65</v>
      </c>
      <c r="AH27" s="85"/>
      <c r="AI27" s="84"/>
      <c r="AJ27" s="84"/>
      <c r="AK27" s="85"/>
      <c r="AL27" s="84"/>
      <c r="AM27" s="84"/>
      <c r="AN27" s="85"/>
    </row>
    <row r="28" spans="1:40" s="86" customFormat="1" ht="48.75" customHeight="1" x14ac:dyDescent="0.25">
      <c r="A28" s="81"/>
      <c r="B28" s="82" t="s">
        <v>34</v>
      </c>
      <c r="C28" s="80">
        <f t="shared" si="11"/>
        <v>360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>
        <v>360</v>
      </c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85"/>
      <c r="AI28" s="84"/>
      <c r="AJ28" s="84"/>
      <c r="AK28" s="85"/>
      <c r="AL28" s="84"/>
      <c r="AM28" s="84"/>
      <c r="AN28" s="85"/>
    </row>
    <row r="29" spans="1:40" s="86" customFormat="1" ht="37.5" customHeight="1" x14ac:dyDescent="0.25">
      <c r="A29" s="81"/>
      <c r="B29" s="82" t="s">
        <v>35</v>
      </c>
      <c r="C29" s="80">
        <f t="shared" si="11"/>
        <v>619.49999999999977</v>
      </c>
      <c r="D29" s="87">
        <v>29.55</v>
      </c>
      <c r="E29" s="87">
        <v>38.81</v>
      </c>
      <c r="F29" s="87">
        <v>25.99</v>
      </c>
      <c r="G29" s="87">
        <v>37.369999999999997</v>
      </c>
      <c r="H29" s="87">
        <v>38.5</v>
      </c>
      <c r="I29" s="87">
        <v>25.99</v>
      </c>
      <c r="J29" s="87">
        <v>39.729999999999997</v>
      </c>
      <c r="K29" s="87">
        <v>24.92</v>
      </c>
      <c r="L29" s="87">
        <v>19.760000000000002</v>
      </c>
      <c r="M29" s="87">
        <v>15.29</v>
      </c>
      <c r="N29" s="87">
        <v>18.5</v>
      </c>
      <c r="O29" s="87">
        <v>16.09</v>
      </c>
      <c r="P29" s="87">
        <v>5.63</v>
      </c>
      <c r="Q29" s="87">
        <v>11.31</v>
      </c>
      <c r="R29" s="87">
        <v>8.89</v>
      </c>
      <c r="S29" s="87">
        <v>25.9</v>
      </c>
      <c r="T29" s="87">
        <v>22.82</v>
      </c>
      <c r="U29" s="87">
        <v>26.82</v>
      </c>
      <c r="V29" s="87">
        <v>22.45</v>
      </c>
      <c r="W29" s="87">
        <v>11.92</v>
      </c>
      <c r="X29" s="87">
        <v>18.7</v>
      </c>
      <c r="Y29" s="87">
        <v>24.13</v>
      </c>
      <c r="Z29" s="87">
        <v>8.23</v>
      </c>
      <c r="AA29" s="87">
        <v>16.88</v>
      </c>
      <c r="AB29" s="87">
        <v>8.06</v>
      </c>
      <c r="AC29" s="87">
        <v>20.420000000000002</v>
      </c>
      <c r="AD29" s="87">
        <v>12.41</v>
      </c>
      <c r="AE29" s="87">
        <v>20.86</v>
      </c>
      <c r="AF29" s="87">
        <v>10.9</v>
      </c>
      <c r="AG29" s="87">
        <v>12.67</v>
      </c>
      <c r="AH29" s="85"/>
      <c r="AI29" s="85"/>
      <c r="AJ29" s="85"/>
      <c r="AK29" s="85"/>
      <c r="AL29" s="85"/>
      <c r="AM29" s="85"/>
      <c r="AN29" s="85"/>
    </row>
    <row r="30" spans="1:40" s="86" customFormat="1" ht="32.25" customHeight="1" x14ac:dyDescent="0.25">
      <c r="A30" s="81"/>
      <c r="B30" s="88" t="s">
        <v>36</v>
      </c>
      <c r="C30" s="83">
        <f t="shared" si="11"/>
        <v>56.29999999999999</v>
      </c>
      <c r="D30" s="70">
        <v>2.2000000000000002</v>
      </c>
      <c r="E30" s="70">
        <v>3.41</v>
      </c>
      <c r="F30" s="70">
        <v>1.95</v>
      </c>
      <c r="G30" s="70">
        <v>3.59</v>
      </c>
      <c r="H30" s="70">
        <v>3.59</v>
      </c>
      <c r="I30" s="70">
        <v>2.85</v>
      </c>
      <c r="J30" s="70">
        <v>3.5</v>
      </c>
      <c r="K30" s="70">
        <v>2.19</v>
      </c>
      <c r="L30" s="70">
        <v>1.56</v>
      </c>
      <c r="M30" s="70">
        <v>1.5</v>
      </c>
      <c r="N30" s="70">
        <v>1.63</v>
      </c>
      <c r="O30" s="70">
        <v>1.33</v>
      </c>
      <c r="P30" s="70">
        <v>1.61</v>
      </c>
      <c r="Q30" s="70">
        <v>1</v>
      </c>
      <c r="R30" s="70">
        <v>1.23</v>
      </c>
      <c r="S30" s="70">
        <v>2.2799999999999998</v>
      </c>
      <c r="T30" s="70">
        <v>2.0099999999999998</v>
      </c>
      <c r="U30" s="70">
        <v>2.36</v>
      </c>
      <c r="V30" s="70">
        <v>1.98</v>
      </c>
      <c r="W30" s="70">
        <v>1.05</v>
      </c>
      <c r="X30" s="70">
        <v>1.64</v>
      </c>
      <c r="Y30" s="70">
        <v>2.12</v>
      </c>
      <c r="Z30" s="70">
        <v>0.72</v>
      </c>
      <c r="AA30" s="70">
        <v>1.49</v>
      </c>
      <c r="AB30" s="70">
        <v>0.71</v>
      </c>
      <c r="AC30" s="70">
        <v>1.8</v>
      </c>
      <c r="AD30" s="70">
        <v>1.0900000000000001</v>
      </c>
      <c r="AE30" s="70">
        <v>1.84</v>
      </c>
      <c r="AF30" s="70">
        <v>0.96</v>
      </c>
      <c r="AG30" s="70">
        <v>1.1100000000000001</v>
      </c>
      <c r="AH30" s="85"/>
      <c r="AI30" s="84"/>
      <c r="AJ30" s="84"/>
      <c r="AK30" s="85"/>
      <c r="AL30" s="84"/>
      <c r="AM30" s="84"/>
      <c r="AN30" s="85"/>
    </row>
    <row r="31" spans="1:40" s="86" customFormat="1" ht="30" customHeight="1" x14ac:dyDescent="0.25">
      <c r="A31" s="81"/>
      <c r="B31" s="82" t="s">
        <v>37</v>
      </c>
      <c r="C31" s="83">
        <f t="shared" si="11"/>
        <v>82.2</v>
      </c>
      <c r="D31" s="70">
        <f>3.6</f>
        <v>3.6</v>
      </c>
      <c r="E31" s="70">
        <f>5.4</f>
        <v>5.4</v>
      </c>
      <c r="F31" s="70">
        <f>3</f>
        <v>3</v>
      </c>
      <c r="G31" s="70">
        <f>5.4</f>
        <v>5.4</v>
      </c>
      <c r="H31" s="70">
        <f>5.4</f>
        <v>5.4</v>
      </c>
      <c r="I31" s="70">
        <f>3</f>
        <v>3</v>
      </c>
      <c r="J31" s="70">
        <f>5.4</f>
        <v>5.4</v>
      </c>
      <c r="K31" s="70">
        <v>3.6</v>
      </c>
      <c r="L31" s="70">
        <f>3</f>
        <v>3</v>
      </c>
      <c r="M31" s="70">
        <f>1.8</f>
        <v>1.8</v>
      </c>
      <c r="N31" s="70">
        <f>2.4</f>
        <v>2.4</v>
      </c>
      <c r="O31" s="70">
        <f>1.2</f>
        <v>1.2</v>
      </c>
      <c r="P31" s="70">
        <f>0.6</f>
        <v>0.6</v>
      </c>
      <c r="Q31" s="70">
        <f>0.6</f>
        <v>0.6</v>
      </c>
      <c r="R31" s="70">
        <f>0.6</f>
        <v>0.6</v>
      </c>
      <c r="S31" s="70">
        <f>4.2</f>
        <v>4.2</v>
      </c>
      <c r="T31" s="70">
        <f>3.6</f>
        <v>3.6</v>
      </c>
      <c r="U31" s="70">
        <f>4.2</f>
        <v>4.2</v>
      </c>
      <c r="V31" s="70">
        <f>3.6</f>
        <v>3.6</v>
      </c>
      <c r="W31" s="70"/>
      <c r="X31" s="70">
        <v>3</v>
      </c>
      <c r="Y31" s="70">
        <v>3.6</v>
      </c>
      <c r="Z31" s="70">
        <v>1.2</v>
      </c>
      <c r="AA31" s="70">
        <v>2.4</v>
      </c>
      <c r="AB31" s="70">
        <v>1.2</v>
      </c>
      <c r="AC31" s="70">
        <v>3</v>
      </c>
      <c r="AD31" s="70">
        <v>1.8</v>
      </c>
      <c r="AE31" s="70">
        <v>3</v>
      </c>
      <c r="AF31" s="70">
        <v>0.6</v>
      </c>
      <c r="AG31" s="70">
        <v>1.8</v>
      </c>
      <c r="AH31" s="85"/>
      <c r="AI31" s="85"/>
      <c r="AJ31" s="85"/>
      <c r="AK31" s="85"/>
      <c r="AL31" s="85"/>
      <c r="AM31" s="85"/>
      <c r="AN31" s="85"/>
    </row>
    <row r="32" spans="1:40" s="86" customFormat="1" ht="32.25" customHeight="1" x14ac:dyDescent="0.25">
      <c r="A32" s="90"/>
      <c r="B32" s="88" t="s">
        <v>38</v>
      </c>
      <c r="C32" s="83">
        <f t="shared" si="11"/>
        <v>58.989999999999995</v>
      </c>
      <c r="D32" s="70">
        <v>6</v>
      </c>
      <c r="E32" s="70">
        <v>4.5</v>
      </c>
      <c r="F32" s="70">
        <v>3.5</v>
      </c>
      <c r="G32" s="70">
        <v>4.25</v>
      </c>
      <c r="H32" s="70">
        <v>2.5</v>
      </c>
      <c r="I32" s="70">
        <v>2.1</v>
      </c>
      <c r="J32" s="70">
        <v>0.5</v>
      </c>
      <c r="K32" s="70">
        <v>0.3</v>
      </c>
      <c r="L32" s="70">
        <v>1.38</v>
      </c>
      <c r="M32" s="70">
        <v>2.2999999999999998</v>
      </c>
      <c r="N32" s="70">
        <v>3</v>
      </c>
      <c r="O32" s="70">
        <v>2.2999999999999998</v>
      </c>
      <c r="P32" s="70">
        <v>0.5</v>
      </c>
      <c r="Q32" s="70">
        <v>2.2999999999999998</v>
      </c>
      <c r="R32" s="70">
        <v>2.2999999999999998</v>
      </c>
      <c r="S32" s="70">
        <v>0.9</v>
      </c>
      <c r="T32" s="70">
        <v>1.5</v>
      </c>
      <c r="U32" s="70">
        <v>1.72</v>
      </c>
      <c r="V32" s="70"/>
      <c r="W32" s="70">
        <v>5.6</v>
      </c>
      <c r="X32" s="70">
        <v>0.3</v>
      </c>
      <c r="Y32" s="70">
        <v>2.81</v>
      </c>
      <c r="Z32" s="70">
        <v>0.68</v>
      </c>
      <c r="AA32" s="70">
        <v>0.45</v>
      </c>
      <c r="AB32" s="70">
        <v>2.2999999999999998</v>
      </c>
      <c r="AC32" s="70">
        <v>1</v>
      </c>
      <c r="AD32" s="70"/>
      <c r="AE32" s="70">
        <v>1.5</v>
      </c>
      <c r="AF32" s="70">
        <v>1.5</v>
      </c>
      <c r="AG32" s="70">
        <v>1</v>
      </c>
      <c r="AH32" s="91"/>
      <c r="AI32" s="91"/>
      <c r="AJ32" s="91"/>
      <c r="AK32" s="91"/>
      <c r="AL32" s="91"/>
      <c r="AM32" s="91"/>
      <c r="AN32" s="91"/>
    </row>
    <row r="33" spans="1:40" s="86" customFormat="1" ht="32.25" customHeight="1" x14ac:dyDescent="0.25">
      <c r="A33" s="90"/>
      <c r="B33" s="82" t="s">
        <v>95</v>
      </c>
      <c r="C33" s="83">
        <f t="shared" si="11"/>
        <v>55.199999999999989</v>
      </c>
      <c r="D33" s="70">
        <v>2.27</v>
      </c>
      <c r="E33" s="70">
        <v>3.59</v>
      </c>
      <c r="F33" s="70">
        <v>1.94</v>
      </c>
      <c r="G33" s="70">
        <v>3.46</v>
      </c>
      <c r="H33" s="70">
        <v>3.56</v>
      </c>
      <c r="I33" s="70">
        <v>1.94</v>
      </c>
      <c r="J33" s="70">
        <v>3.68</v>
      </c>
      <c r="K33" s="70">
        <v>2.31</v>
      </c>
      <c r="L33" s="70">
        <v>1.64</v>
      </c>
      <c r="M33" s="70">
        <v>1.05</v>
      </c>
      <c r="N33" s="70">
        <v>1.71</v>
      </c>
      <c r="O33" s="70">
        <v>1.28</v>
      </c>
      <c r="P33" s="70">
        <v>0.52</v>
      </c>
      <c r="Q33" s="70">
        <v>1.05</v>
      </c>
      <c r="R33" s="70">
        <v>0.82</v>
      </c>
      <c r="S33" s="70">
        <v>2.4</v>
      </c>
      <c r="T33" s="70">
        <v>2.11</v>
      </c>
      <c r="U33" s="70">
        <v>2.48</v>
      </c>
      <c r="V33" s="70">
        <v>2.08</v>
      </c>
      <c r="W33" s="70">
        <v>1.1000000000000001</v>
      </c>
      <c r="X33" s="70">
        <v>1.73</v>
      </c>
      <c r="Y33" s="70">
        <v>2.23</v>
      </c>
      <c r="Z33" s="70">
        <v>0.76</v>
      </c>
      <c r="AA33" s="70">
        <v>1.56</v>
      </c>
      <c r="AB33" s="70">
        <v>0.75</v>
      </c>
      <c r="AC33" s="70">
        <v>1.89</v>
      </c>
      <c r="AD33" s="70">
        <v>1.1499999999999999</v>
      </c>
      <c r="AE33" s="70">
        <v>1.93</v>
      </c>
      <c r="AF33" s="70">
        <v>1.04</v>
      </c>
      <c r="AG33" s="70">
        <v>1.17</v>
      </c>
      <c r="AH33" s="91"/>
      <c r="AI33" s="91"/>
      <c r="AJ33" s="91"/>
      <c r="AK33" s="91"/>
      <c r="AL33" s="91"/>
      <c r="AM33" s="91"/>
      <c r="AN33" s="91"/>
    </row>
    <row r="34" spans="1:40" ht="39.75" customHeight="1" x14ac:dyDescent="0.25">
      <c r="A34" s="98"/>
      <c r="B34" s="99" t="s">
        <v>41</v>
      </c>
      <c r="C34" s="80">
        <f>C35+C62+C81+C83+C84+C82</f>
        <v>90677.601999999999</v>
      </c>
      <c r="D34" s="80">
        <f t="shared" ref="D34:AG34" si="12">D35+D62+D81+D83+D84</f>
        <v>3875.6429999999991</v>
      </c>
      <c r="E34" s="80">
        <f t="shared" si="12"/>
        <v>5391.72</v>
      </c>
      <c r="F34" s="80">
        <f t="shared" si="12"/>
        <v>2636.9370000000004</v>
      </c>
      <c r="G34" s="80">
        <f t="shared" si="12"/>
        <v>6995.2660000000005</v>
      </c>
      <c r="H34" s="80">
        <f t="shared" si="12"/>
        <v>7170.1500000000005</v>
      </c>
      <c r="I34" s="80">
        <f t="shared" si="12"/>
        <v>2983.0450000000001</v>
      </c>
      <c r="J34" s="80">
        <f t="shared" si="12"/>
        <v>5202.38</v>
      </c>
      <c r="K34" s="80">
        <f t="shared" si="12"/>
        <v>3826.2719999999999</v>
      </c>
      <c r="L34" s="80">
        <f t="shared" si="12"/>
        <v>2977.8540000000003</v>
      </c>
      <c r="M34" s="80">
        <f t="shared" si="12"/>
        <v>2309.2600000000002</v>
      </c>
      <c r="N34" s="80">
        <f t="shared" si="12"/>
        <v>2304.9799999999996</v>
      </c>
      <c r="O34" s="80">
        <f t="shared" si="12"/>
        <v>1754.6640000000002</v>
      </c>
      <c r="P34" s="80">
        <f t="shared" si="12"/>
        <v>979.93999999999983</v>
      </c>
      <c r="Q34" s="80">
        <f t="shared" si="12"/>
        <v>1399.4099999999999</v>
      </c>
      <c r="R34" s="80">
        <f t="shared" si="12"/>
        <v>1091.6200000000001</v>
      </c>
      <c r="S34" s="80">
        <f t="shared" si="12"/>
        <v>5552.8589999999995</v>
      </c>
      <c r="T34" s="80">
        <f t="shared" si="12"/>
        <v>3438.8199999999997</v>
      </c>
      <c r="U34" s="80">
        <f t="shared" si="12"/>
        <v>3349.9230000000002</v>
      </c>
      <c r="V34" s="80">
        <f t="shared" si="12"/>
        <v>3005.0260000000003</v>
      </c>
      <c r="W34" s="80">
        <f t="shared" si="12"/>
        <v>1735.0309999999997</v>
      </c>
      <c r="X34" s="80">
        <f t="shared" si="12"/>
        <v>2411.2159999999999</v>
      </c>
      <c r="Y34" s="80">
        <f t="shared" si="12"/>
        <v>3746.0780000000004</v>
      </c>
      <c r="Z34" s="80">
        <f t="shared" si="12"/>
        <v>1922.498</v>
      </c>
      <c r="AA34" s="80">
        <f t="shared" si="12"/>
        <v>2187.6530000000002</v>
      </c>
      <c r="AB34" s="80">
        <f t="shared" si="12"/>
        <v>1328.85</v>
      </c>
      <c r="AC34" s="80">
        <f t="shared" si="12"/>
        <v>2549.0860000000002</v>
      </c>
      <c r="AD34" s="80">
        <f t="shared" si="12"/>
        <v>1903.3799999999999</v>
      </c>
      <c r="AE34" s="80">
        <f t="shared" si="12"/>
        <v>2654.5070000000005</v>
      </c>
      <c r="AF34" s="80">
        <f t="shared" si="12"/>
        <v>1339.43</v>
      </c>
      <c r="AG34" s="80">
        <f t="shared" si="12"/>
        <v>2001.0240000000001</v>
      </c>
      <c r="AH34" s="75"/>
      <c r="AK34" s="75"/>
      <c r="AN34" s="75"/>
    </row>
    <row r="35" spans="1:40" ht="27.75" customHeight="1" x14ac:dyDescent="0.25">
      <c r="A35" s="100">
        <v>1</v>
      </c>
      <c r="B35" s="101" t="s">
        <v>42</v>
      </c>
      <c r="C35" s="80">
        <f t="shared" ref="C35:AG35" si="13">C36+C38+C39+C40+C41+C48+C59</f>
        <v>64895.907999999989</v>
      </c>
      <c r="D35" s="80">
        <f t="shared" si="13"/>
        <v>2823.1429999999996</v>
      </c>
      <c r="E35" s="80">
        <f t="shared" si="13"/>
        <v>3737.5000000000005</v>
      </c>
      <c r="F35" s="80">
        <f t="shared" si="13"/>
        <v>1736.9570000000001</v>
      </c>
      <c r="G35" s="80">
        <f t="shared" si="13"/>
        <v>5413.1360000000004</v>
      </c>
      <c r="H35" s="80">
        <f t="shared" si="13"/>
        <v>5539.33</v>
      </c>
      <c r="I35" s="80">
        <f t="shared" si="13"/>
        <v>2083.1849999999999</v>
      </c>
      <c r="J35" s="80">
        <f t="shared" si="13"/>
        <v>3519.0699999999997</v>
      </c>
      <c r="K35" s="80">
        <f t="shared" si="13"/>
        <v>2757.8720000000003</v>
      </c>
      <c r="L35" s="80">
        <f t="shared" si="13"/>
        <v>2216.5640000000003</v>
      </c>
      <c r="M35" s="80">
        <f t="shared" si="13"/>
        <v>1825.1399999999999</v>
      </c>
      <c r="N35" s="80">
        <f t="shared" si="13"/>
        <v>1511.85</v>
      </c>
      <c r="O35" s="80">
        <f t="shared" si="13"/>
        <v>1160.0640000000001</v>
      </c>
      <c r="P35" s="80">
        <f t="shared" si="13"/>
        <v>738.34999999999991</v>
      </c>
      <c r="Q35" s="80">
        <f t="shared" si="13"/>
        <v>914.57999999999993</v>
      </c>
      <c r="R35" s="80">
        <f t="shared" si="13"/>
        <v>710.53000000000009</v>
      </c>
      <c r="S35" s="80">
        <f t="shared" si="13"/>
        <v>4445.2789999999995</v>
      </c>
      <c r="T35" s="80">
        <f t="shared" si="13"/>
        <v>2460.7999999999997</v>
      </c>
      <c r="U35" s="80">
        <f t="shared" si="13"/>
        <v>2209.6330000000003</v>
      </c>
      <c r="V35" s="80">
        <f t="shared" si="13"/>
        <v>2042.4260000000002</v>
      </c>
      <c r="W35" s="80">
        <f t="shared" si="13"/>
        <v>1223.7809999999999</v>
      </c>
      <c r="X35" s="80">
        <f t="shared" si="13"/>
        <v>1609.6359999999997</v>
      </c>
      <c r="Y35" s="80">
        <f t="shared" si="13"/>
        <v>2711.7379999999998</v>
      </c>
      <c r="Z35" s="80">
        <f t="shared" si="13"/>
        <v>1569.268</v>
      </c>
      <c r="AA35" s="80">
        <f t="shared" si="13"/>
        <v>1463.893</v>
      </c>
      <c r="AB35" s="80">
        <f t="shared" si="13"/>
        <v>983.04999999999984</v>
      </c>
      <c r="AC35" s="80">
        <f t="shared" si="13"/>
        <v>1673.6960000000001</v>
      </c>
      <c r="AD35" s="80">
        <f t="shared" si="13"/>
        <v>1371.54</v>
      </c>
      <c r="AE35" s="80">
        <f t="shared" si="13"/>
        <v>1760.5629999999999</v>
      </c>
      <c r="AF35" s="80">
        <f t="shared" si="13"/>
        <v>871.82999999999993</v>
      </c>
      <c r="AG35" s="80">
        <f t="shared" si="13"/>
        <v>1457.934</v>
      </c>
      <c r="AH35" s="75"/>
      <c r="AI35" s="75"/>
      <c r="AJ35" s="75"/>
      <c r="AK35" s="75"/>
      <c r="AL35" s="75"/>
      <c r="AM35" s="75"/>
      <c r="AN35" s="75"/>
    </row>
    <row r="36" spans="1:40" ht="24.75" customHeight="1" x14ac:dyDescent="0.25">
      <c r="A36" s="100">
        <v>2</v>
      </c>
      <c r="B36" s="76" t="s">
        <v>43</v>
      </c>
      <c r="C36" s="80">
        <v>15415.9</v>
      </c>
      <c r="D36" s="51">
        <v>634.66</v>
      </c>
      <c r="E36" s="51">
        <v>1003.37</v>
      </c>
      <c r="F36" s="51">
        <v>542.62</v>
      </c>
      <c r="G36" s="51">
        <v>966.11</v>
      </c>
      <c r="H36" s="51">
        <v>995.47</v>
      </c>
      <c r="I36" s="51">
        <v>542.62</v>
      </c>
      <c r="J36" s="51">
        <v>1027.0899999999999</v>
      </c>
      <c r="K36" s="51">
        <v>544.28</v>
      </c>
      <c r="L36" s="51">
        <v>459.06</v>
      </c>
      <c r="M36" s="51">
        <v>291.92</v>
      </c>
      <c r="N36" s="51">
        <v>478.25</v>
      </c>
      <c r="O36" s="51">
        <v>358.55</v>
      </c>
      <c r="P36" s="51">
        <v>145.68</v>
      </c>
      <c r="Q36" s="51">
        <v>292.49</v>
      </c>
      <c r="R36" s="51">
        <v>229.81</v>
      </c>
      <c r="S36" s="51">
        <v>669.67</v>
      </c>
      <c r="T36" s="51">
        <v>580.04999999999995</v>
      </c>
      <c r="U36" s="51">
        <v>693.38</v>
      </c>
      <c r="V36" s="51">
        <v>580.45000000000005</v>
      </c>
      <c r="W36" s="51">
        <v>308.3</v>
      </c>
      <c r="X36" s="51">
        <v>483.33</v>
      </c>
      <c r="Y36" s="51">
        <v>623.92999999999995</v>
      </c>
      <c r="Z36" s="51">
        <v>212.87</v>
      </c>
      <c r="AA36" s="51">
        <v>436.47</v>
      </c>
      <c r="AB36" s="51">
        <v>208.35</v>
      </c>
      <c r="AC36" s="51">
        <v>527.94000000000005</v>
      </c>
      <c r="AD36" s="51">
        <v>320.72000000000003</v>
      </c>
      <c r="AE36" s="51">
        <v>539.23</v>
      </c>
      <c r="AF36" s="51">
        <v>281.76</v>
      </c>
      <c r="AG36" s="51">
        <v>327.49</v>
      </c>
      <c r="AH36" s="75"/>
      <c r="AK36" s="75"/>
      <c r="AN36" s="75"/>
    </row>
    <row r="37" spans="1:40" hidden="1" x14ac:dyDescent="0.25">
      <c r="A37" s="100">
        <v>3</v>
      </c>
      <c r="B37" s="79" t="s">
        <v>44</v>
      </c>
      <c r="C37" s="77">
        <f>D37+E37+F37+G37+H37+I37+J37+K37+L37+M37+N37+O37+P37+Q37+R37+S37+T37+U37+V37+W37+X37+Y37+Z37+AA37+AB37+AC37+AD37+AE37+AF37+AG37</f>
        <v>0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75"/>
      <c r="AK37" s="75"/>
      <c r="AN37" s="75"/>
    </row>
    <row r="38" spans="1:40" ht="25.5" customHeight="1" x14ac:dyDescent="0.25">
      <c r="A38" s="100">
        <v>4</v>
      </c>
      <c r="B38" s="102" t="s">
        <v>45</v>
      </c>
      <c r="C38" s="80">
        <f>D38+E38+F38+G38+H38+I38+J38+K38+L38+M38+N38+O38+P38+Q38+R38+S38+T38+U38+V38+W38+X38+Y38+Z38+AA38+AB38+AC38+AD38+AE38+AF38+AG38</f>
        <v>22848.829999999998</v>
      </c>
      <c r="D38" s="51">
        <v>940.67</v>
      </c>
      <c r="E38" s="51">
        <v>1487.16</v>
      </c>
      <c r="F38" s="51">
        <v>804.25</v>
      </c>
      <c r="G38" s="51">
        <v>1431.92</v>
      </c>
      <c r="H38" s="51">
        <v>1475.44</v>
      </c>
      <c r="I38" s="51">
        <v>804.25</v>
      </c>
      <c r="J38" s="51">
        <v>1522.31</v>
      </c>
      <c r="K38" s="51">
        <v>954.89</v>
      </c>
      <c r="L38" s="51">
        <v>680.39</v>
      </c>
      <c r="M38" s="51">
        <v>432.67</v>
      </c>
      <c r="N38" s="51">
        <v>708.85</v>
      </c>
      <c r="O38" s="51">
        <v>531.42999999999995</v>
      </c>
      <c r="P38" s="51">
        <v>215.92</v>
      </c>
      <c r="Q38" s="51">
        <v>433.51</v>
      </c>
      <c r="R38" s="51">
        <v>340.62</v>
      </c>
      <c r="S38" s="51">
        <v>992.55</v>
      </c>
      <c r="T38" s="51">
        <v>674.55</v>
      </c>
      <c r="U38" s="51">
        <v>1027.7</v>
      </c>
      <c r="V38" s="51">
        <v>860.33</v>
      </c>
      <c r="W38" s="51">
        <v>436.96</v>
      </c>
      <c r="X38" s="51">
        <v>736.38</v>
      </c>
      <c r="Y38" s="51">
        <v>924.77</v>
      </c>
      <c r="Z38" s="51">
        <v>515.51</v>
      </c>
      <c r="AA38" s="51">
        <v>646.91999999999996</v>
      </c>
      <c r="AB38" s="51">
        <v>308.81</v>
      </c>
      <c r="AC38" s="51">
        <v>782.48</v>
      </c>
      <c r="AD38" s="51">
        <v>475.35</v>
      </c>
      <c r="AE38" s="51">
        <v>799.23</v>
      </c>
      <c r="AF38" s="51">
        <v>417.61</v>
      </c>
      <c r="AG38" s="51">
        <v>485.4</v>
      </c>
      <c r="AH38" s="75"/>
      <c r="AK38" s="75"/>
      <c r="AN38" s="75"/>
    </row>
    <row r="39" spans="1:40" ht="21.75" customHeight="1" x14ac:dyDescent="0.25">
      <c r="A39" s="100">
        <v>5</v>
      </c>
      <c r="B39" s="102" t="s">
        <v>46</v>
      </c>
      <c r="C39" s="80">
        <f>D39+E39+F39+G39+H39+I39+J39+K39+L39+M39+N39+O39+P39+Q39+R39+S39+T39+U39+V39+W39+X39+Y39+Z39+AA39+AB39+AC39+AD39+AE39+AF39+AG39</f>
        <v>5596.23</v>
      </c>
      <c r="D39" s="51">
        <v>216.28</v>
      </c>
      <c r="E39" s="51">
        <v>317.73</v>
      </c>
      <c r="F39" s="51">
        <v>193.46</v>
      </c>
      <c r="G39" s="51">
        <v>344.45</v>
      </c>
      <c r="H39" s="51">
        <v>344.91</v>
      </c>
      <c r="I39" s="51">
        <v>173.46</v>
      </c>
      <c r="J39" s="51">
        <v>386.19</v>
      </c>
      <c r="K39" s="51">
        <v>259.7</v>
      </c>
      <c r="L39" s="51">
        <v>173.67</v>
      </c>
      <c r="M39" s="51">
        <v>134.08000000000001</v>
      </c>
      <c r="N39" s="51">
        <v>170.51</v>
      </c>
      <c r="O39" s="51">
        <v>167.83</v>
      </c>
      <c r="P39" s="51">
        <v>59.94</v>
      </c>
      <c r="Q39" s="51">
        <v>114.28</v>
      </c>
      <c r="R39" s="51">
        <v>81.93</v>
      </c>
      <c r="S39" s="51">
        <v>238.76</v>
      </c>
      <c r="T39" s="51">
        <v>220.37</v>
      </c>
      <c r="U39" s="51">
        <v>247.21</v>
      </c>
      <c r="V39" s="51">
        <v>216.95</v>
      </c>
      <c r="W39" s="51">
        <v>119.92</v>
      </c>
      <c r="X39" s="51">
        <v>174.32</v>
      </c>
      <c r="Y39" s="51">
        <v>222.45</v>
      </c>
      <c r="Z39" s="51">
        <v>75.89</v>
      </c>
      <c r="AA39" s="51">
        <v>155.61000000000001</v>
      </c>
      <c r="AB39" s="51">
        <v>74.290000000000006</v>
      </c>
      <c r="AC39" s="51">
        <v>188.23</v>
      </c>
      <c r="AD39" s="51">
        <v>114.35</v>
      </c>
      <c r="AE39" s="51">
        <v>192.25</v>
      </c>
      <c r="AF39" s="51">
        <v>100.45</v>
      </c>
      <c r="AG39" s="51">
        <v>116.76</v>
      </c>
      <c r="AH39" s="75"/>
      <c r="AK39" s="75"/>
      <c r="AN39" s="75"/>
    </row>
    <row r="40" spans="1:40" ht="30" customHeight="1" x14ac:dyDescent="0.25">
      <c r="A40" s="100">
        <v>6</v>
      </c>
      <c r="B40" s="102" t="s">
        <v>47</v>
      </c>
      <c r="C40" s="80">
        <f>D40+E40+F40+G40+H40+I40+J40+K40+L40+M40+N40+O40+P40+Q40+R40+S40+T40+U40+V40+W40+X40+Y40+Z40+AA40+AB40+AC40+AD40+AE40+AF40+AG40</f>
        <v>943.38</v>
      </c>
      <c r="D40" s="51">
        <v>38.840000000000003</v>
      </c>
      <c r="E40" s="51">
        <v>61.4</v>
      </c>
      <c r="F40" s="51">
        <v>33.21</v>
      </c>
      <c r="G40" s="51">
        <v>59.12</v>
      </c>
      <c r="H40" s="51">
        <v>60.92</v>
      </c>
      <c r="I40" s="51">
        <v>33.21</v>
      </c>
      <c r="J40" s="51">
        <v>62.85</v>
      </c>
      <c r="K40" s="51">
        <v>39.43</v>
      </c>
      <c r="L40" s="51">
        <v>28.09</v>
      </c>
      <c r="M40" s="51">
        <v>17.86</v>
      </c>
      <c r="N40" s="51">
        <v>29.27</v>
      </c>
      <c r="O40" s="51">
        <v>21.94</v>
      </c>
      <c r="P40" s="51">
        <v>8.91</v>
      </c>
      <c r="Q40" s="51">
        <v>17.899999999999999</v>
      </c>
      <c r="R40" s="51">
        <v>14.06</v>
      </c>
      <c r="S40" s="51">
        <v>40.96</v>
      </c>
      <c r="T40" s="51">
        <v>36.11</v>
      </c>
      <c r="U40" s="51">
        <v>42.43</v>
      </c>
      <c r="V40" s="51">
        <v>35.520000000000003</v>
      </c>
      <c r="W40" s="51">
        <v>18.670000000000002</v>
      </c>
      <c r="X40" s="51">
        <v>29.58</v>
      </c>
      <c r="Y40" s="51">
        <v>38.18</v>
      </c>
      <c r="Z40" s="51">
        <v>13.03</v>
      </c>
      <c r="AA40" s="51">
        <v>26.71</v>
      </c>
      <c r="AB40" s="51">
        <v>12.75</v>
      </c>
      <c r="AC40" s="51">
        <v>32.31</v>
      </c>
      <c r="AD40" s="51">
        <v>19.63</v>
      </c>
      <c r="AE40" s="51">
        <v>33</v>
      </c>
      <c r="AF40" s="51">
        <v>17.239999999999998</v>
      </c>
      <c r="AG40" s="51">
        <v>20.25</v>
      </c>
      <c r="AH40" s="75"/>
      <c r="AK40" s="75"/>
      <c r="AN40" s="75"/>
    </row>
    <row r="41" spans="1:40" ht="28.5" customHeight="1" x14ac:dyDescent="0.25">
      <c r="A41" s="100">
        <v>7</v>
      </c>
      <c r="B41" s="103" t="s">
        <v>48</v>
      </c>
      <c r="C41" s="80">
        <f>C42+C43+C44+C45+C46+C47</f>
        <v>17990.817999999999</v>
      </c>
      <c r="D41" s="80">
        <f t="shared" ref="D41:AG41" si="14">D42+D43+D44+D45+D46+D47</f>
        <v>893.78300000000002</v>
      </c>
      <c r="E41" s="80">
        <f t="shared" si="14"/>
        <v>752.86</v>
      </c>
      <c r="F41" s="80">
        <f t="shared" si="14"/>
        <v>100.59700000000001</v>
      </c>
      <c r="G41" s="80">
        <f t="shared" si="14"/>
        <v>2500.596</v>
      </c>
      <c r="H41" s="80">
        <f t="shared" si="14"/>
        <v>2548.3000000000002</v>
      </c>
      <c r="I41" s="80">
        <f t="shared" si="14"/>
        <v>467.42500000000001</v>
      </c>
      <c r="J41" s="80">
        <f t="shared" si="14"/>
        <v>403.11999999999995</v>
      </c>
      <c r="K41" s="80">
        <f t="shared" si="14"/>
        <v>857.38199999999995</v>
      </c>
      <c r="L41" s="80">
        <f t="shared" si="14"/>
        <v>821.89400000000001</v>
      </c>
      <c r="M41" s="80">
        <f t="shared" si="14"/>
        <v>914.97</v>
      </c>
      <c r="N41" s="80">
        <f t="shared" si="14"/>
        <v>70.27000000000001</v>
      </c>
      <c r="O41" s="80">
        <f t="shared" si="14"/>
        <v>38.963999999999999</v>
      </c>
      <c r="P41" s="80">
        <f t="shared" si="14"/>
        <v>291.07</v>
      </c>
      <c r="Q41" s="80">
        <f t="shared" si="14"/>
        <v>22.63</v>
      </c>
      <c r="R41" s="80">
        <f t="shared" si="14"/>
        <v>17.78</v>
      </c>
      <c r="S41" s="80">
        <f t="shared" si="14"/>
        <v>2426.2089999999998</v>
      </c>
      <c r="T41" s="80">
        <f t="shared" si="14"/>
        <v>881.86</v>
      </c>
      <c r="U41" s="80">
        <f t="shared" si="14"/>
        <v>118.81299999999999</v>
      </c>
      <c r="V41" s="80">
        <f t="shared" si="14"/>
        <v>282.31599999999997</v>
      </c>
      <c r="W41" s="80">
        <f t="shared" si="14"/>
        <v>304.55099999999999</v>
      </c>
      <c r="X41" s="80">
        <f t="shared" si="14"/>
        <v>130.446</v>
      </c>
      <c r="Y41" s="80">
        <f t="shared" si="14"/>
        <v>830.74799999999993</v>
      </c>
      <c r="Z41" s="80">
        <f t="shared" si="14"/>
        <v>727.26800000000003</v>
      </c>
      <c r="AA41" s="80">
        <f t="shared" si="14"/>
        <v>147.15299999999999</v>
      </c>
      <c r="AB41" s="80">
        <f t="shared" si="14"/>
        <v>354.93</v>
      </c>
      <c r="AC41" s="80">
        <f t="shared" si="14"/>
        <v>55.016000000000005</v>
      </c>
      <c r="AD41" s="80">
        <f t="shared" si="14"/>
        <v>404.68</v>
      </c>
      <c r="AE41" s="80">
        <f t="shared" si="14"/>
        <v>131.94300000000001</v>
      </c>
      <c r="AF41" s="80">
        <f t="shared" si="14"/>
        <v>21.8</v>
      </c>
      <c r="AG41" s="80">
        <f t="shared" si="14"/>
        <v>471.28399999999999</v>
      </c>
      <c r="AH41" s="85"/>
      <c r="AI41" s="84"/>
      <c r="AJ41" s="84"/>
      <c r="AK41" s="85"/>
      <c r="AL41" s="84"/>
      <c r="AM41" s="84"/>
      <c r="AN41" s="85"/>
    </row>
    <row r="42" spans="1:40" s="86" customFormat="1" ht="22.5" customHeight="1" x14ac:dyDescent="0.25">
      <c r="A42" s="100"/>
      <c r="B42" s="88" t="s">
        <v>49</v>
      </c>
      <c r="C42" s="80">
        <f t="shared" ref="C42:C47" si="15">D42+E42+F42+G42+H42+I42+J42+K42+L42+M42+N42+O42+P42+Q42+R42+S42+T42+U42+V42+W42+X42+Y42+Z42+AA42+AB42+AC42+AD42+AE42+AF42+AG42</f>
        <v>1408.2380000000001</v>
      </c>
      <c r="D42" s="104">
        <f>41.83+31.54+13.303-50</f>
        <v>36.673000000000002</v>
      </c>
      <c r="E42" s="104">
        <f>46.53+17.4+62.923+65.857-80</f>
        <v>112.71000000000001</v>
      </c>
      <c r="F42" s="104">
        <f>29.61+44.945+21.062-37</f>
        <v>58.617000000000004</v>
      </c>
      <c r="G42" s="104">
        <f>113.27+42.32+54.496-90</f>
        <v>120.08600000000001</v>
      </c>
      <c r="H42" s="104">
        <f>14.7+21.62+47.971+26.308+24.622+24.959-90</f>
        <v>70.180000000000007</v>
      </c>
      <c r="I42" s="104">
        <f>37.1+17.155+70.55-37</f>
        <v>87.805000000000007</v>
      </c>
      <c r="J42" s="104">
        <f>113.74+45.62-38-5</f>
        <v>116.35999999999999</v>
      </c>
      <c r="K42" s="104"/>
      <c r="L42" s="104">
        <f>10.792</f>
        <v>10.792</v>
      </c>
      <c r="M42" s="104">
        <f>64.06+37.758+21.378-25-5</f>
        <v>93.196000000000012</v>
      </c>
      <c r="N42" s="51">
        <f>43.27-10</f>
        <v>33.270000000000003</v>
      </c>
      <c r="O42" s="51">
        <f>16.224-5</f>
        <v>11.224</v>
      </c>
      <c r="P42" s="51"/>
      <c r="Q42" s="51"/>
      <c r="R42" s="51"/>
      <c r="S42" s="51">
        <f>37.65+20.969-15</f>
        <v>43.619</v>
      </c>
      <c r="T42" s="51">
        <f>78.72-25</f>
        <v>53.72</v>
      </c>
      <c r="U42" s="51">
        <f>28.1+25.228+15.725+10.32-35</f>
        <v>44.37299999999999</v>
      </c>
      <c r="V42" s="51">
        <f>24.396-5</f>
        <v>19.396000000000001</v>
      </c>
      <c r="W42" s="51">
        <f>25.57+19.631-12</f>
        <v>33.201000000000001</v>
      </c>
      <c r="X42" s="51">
        <f>57.04+51.856+14.16-20-10</f>
        <v>93.055999999999997</v>
      </c>
      <c r="Y42" s="51">
        <f>100.176+75.67-15-20+6.5</f>
        <v>147.346</v>
      </c>
      <c r="Z42" s="51">
        <f>43.033+7.635-12</f>
        <v>38.667999999999999</v>
      </c>
      <c r="AA42" s="51">
        <f>12.347+32.376+24.96-25</f>
        <v>44.682999999999993</v>
      </c>
      <c r="AB42" s="51">
        <f>48.33-3</f>
        <v>45.33</v>
      </c>
      <c r="AC42" s="51">
        <f>21.176-7</f>
        <v>14.175999999999998</v>
      </c>
      <c r="AD42" s="51">
        <f>10.26</f>
        <v>10.26</v>
      </c>
      <c r="AE42" s="51">
        <f>57.378+38.355-37.19</f>
        <v>58.543000000000006</v>
      </c>
      <c r="AF42" s="51"/>
      <c r="AG42" s="51">
        <f>30.07+18.074-37.19</f>
        <v>10.954000000000008</v>
      </c>
      <c r="AH42" s="85"/>
      <c r="AI42" s="85"/>
      <c r="AJ42" s="85"/>
      <c r="AK42" s="85"/>
      <c r="AL42" s="85"/>
      <c r="AM42" s="85"/>
      <c r="AN42" s="85"/>
    </row>
    <row r="43" spans="1:40" ht="21" customHeight="1" x14ac:dyDescent="0.25">
      <c r="A43" s="100"/>
      <c r="B43" s="88" t="s">
        <v>91</v>
      </c>
      <c r="C43" s="80">
        <f t="shared" si="15"/>
        <v>7142.21</v>
      </c>
      <c r="D43" s="51">
        <f>328.15+279.86+200</f>
        <v>808.01</v>
      </c>
      <c r="E43" s="51">
        <f>330.94+31.59+200</f>
        <v>562.53</v>
      </c>
      <c r="F43" s="51"/>
      <c r="G43" s="51">
        <v>20.8</v>
      </c>
      <c r="H43" s="51">
        <f>316.68+404.44+439.74+123.08+63.18+100</f>
        <v>1447.1200000000001</v>
      </c>
      <c r="I43" s="51">
        <f>337.64</f>
        <v>337.64</v>
      </c>
      <c r="J43" s="51">
        <f>20.8+50</f>
        <v>70.8</v>
      </c>
      <c r="K43" s="51">
        <v>321.95</v>
      </c>
      <c r="L43" s="51"/>
      <c r="M43" s="51"/>
      <c r="N43" s="51"/>
      <c r="O43" s="51"/>
      <c r="P43" s="51">
        <f>20.8+50</f>
        <v>70.8</v>
      </c>
      <c r="Q43" s="51"/>
      <c r="R43" s="51"/>
      <c r="S43" s="51">
        <f>269.58+156.68+293.29+366.64+100</f>
        <v>1186.19</v>
      </c>
      <c r="T43" s="51">
        <f>293.31+31.59+407.59+50</f>
        <v>782.49</v>
      </c>
      <c r="U43" s="51">
        <v>20.8</v>
      </c>
      <c r="V43" s="51">
        <f>166.43+31.59+20</f>
        <v>218.02</v>
      </c>
      <c r="W43" s="51"/>
      <c r="X43" s="51"/>
      <c r="Y43" s="51">
        <v>149.54</v>
      </c>
      <c r="Z43" s="51">
        <f>361.33+20.8</f>
        <v>382.13</v>
      </c>
      <c r="AA43" s="51">
        <f>31.59+37.12</f>
        <v>68.709999999999994</v>
      </c>
      <c r="AB43" s="51">
        <v>293.48</v>
      </c>
      <c r="AC43" s="51"/>
      <c r="AD43" s="51">
        <v>369.61</v>
      </c>
      <c r="AE43" s="51">
        <f>31.59</f>
        <v>31.59</v>
      </c>
      <c r="AF43" s="51"/>
      <c r="AG43" s="51"/>
      <c r="AH43" s="85"/>
      <c r="AI43" s="84"/>
      <c r="AJ43" s="84"/>
      <c r="AK43" s="85"/>
      <c r="AL43" s="84"/>
      <c r="AM43" s="84"/>
      <c r="AN43" s="85"/>
    </row>
    <row r="44" spans="1:40" ht="37.5" customHeight="1" x14ac:dyDescent="0.25">
      <c r="A44" s="81"/>
      <c r="B44" s="88" t="s">
        <v>78</v>
      </c>
      <c r="C44" s="80">
        <v>1192.56</v>
      </c>
      <c r="D44" s="51">
        <v>49.1</v>
      </c>
      <c r="E44" s="51">
        <v>77.62</v>
      </c>
      <c r="F44" s="51">
        <v>41.98</v>
      </c>
      <c r="G44" s="51">
        <v>74.47</v>
      </c>
      <c r="H44" s="51">
        <v>77.010000000000005</v>
      </c>
      <c r="I44" s="51">
        <v>41.98</v>
      </c>
      <c r="J44" s="51">
        <v>79.45</v>
      </c>
      <c r="K44" s="51">
        <v>49.84</v>
      </c>
      <c r="L44" s="51">
        <v>35.51</v>
      </c>
      <c r="M44" s="51">
        <v>22.58</v>
      </c>
      <c r="N44" s="51">
        <v>37</v>
      </c>
      <c r="O44" s="51">
        <v>27.74</v>
      </c>
      <c r="P44" s="51">
        <v>11.27</v>
      </c>
      <c r="Q44" s="51">
        <v>22.63</v>
      </c>
      <c r="R44" s="51">
        <v>17.78</v>
      </c>
      <c r="S44" s="51">
        <v>51.8</v>
      </c>
      <c r="T44" s="51">
        <v>45.65</v>
      </c>
      <c r="U44" s="51">
        <v>53.64</v>
      </c>
      <c r="V44" s="51">
        <v>44.9</v>
      </c>
      <c r="W44" s="51">
        <v>23.85</v>
      </c>
      <c r="X44" s="51">
        <v>37.39</v>
      </c>
      <c r="Y44" s="51">
        <v>48.27</v>
      </c>
      <c r="Z44" s="51">
        <v>16.47</v>
      </c>
      <c r="AA44" s="51">
        <v>33.76</v>
      </c>
      <c r="AB44" s="51">
        <v>16.12</v>
      </c>
      <c r="AC44" s="51">
        <v>40.840000000000003</v>
      </c>
      <c r="AD44" s="51">
        <v>24.81</v>
      </c>
      <c r="AE44" s="51">
        <v>41.81</v>
      </c>
      <c r="AF44" s="51">
        <v>21.8</v>
      </c>
      <c r="AG44" s="51">
        <v>25.33</v>
      </c>
      <c r="AH44" s="85"/>
      <c r="AI44" s="84"/>
      <c r="AJ44" s="84"/>
      <c r="AK44" s="85"/>
      <c r="AL44" s="84"/>
      <c r="AM44" s="84"/>
      <c r="AN44" s="85"/>
    </row>
    <row r="45" spans="1:40" ht="20.25" customHeight="1" x14ac:dyDescent="0.25">
      <c r="A45" s="105"/>
      <c r="B45" s="88" t="s">
        <v>90</v>
      </c>
      <c r="C45" s="80">
        <f t="shared" si="15"/>
        <v>4946.75</v>
      </c>
      <c r="D45" s="51"/>
      <c r="E45" s="51"/>
      <c r="F45" s="51"/>
      <c r="G45" s="51">
        <f>1305+511.2-137.95</f>
        <v>1678.25</v>
      </c>
      <c r="H45" s="51">
        <v>347</v>
      </c>
      <c r="I45" s="51"/>
      <c r="J45" s="51"/>
      <c r="K45" s="51"/>
      <c r="L45" s="51">
        <v>290</v>
      </c>
      <c r="M45" s="51">
        <v>435</v>
      </c>
      <c r="N45" s="51"/>
      <c r="O45" s="51"/>
      <c r="P45" s="51">
        <v>209</v>
      </c>
      <c r="Q45" s="51"/>
      <c r="R45" s="51"/>
      <c r="S45" s="51">
        <v>1015</v>
      </c>
      <c r="T45" s="51"/>
      <c r="U45" s="51"/>
      <c r="V45" s="51"/>
      <c r="W45" s="51">
        <v>247.5</v>
      </c>
      <c r="X45" s="51"/>
      <c r="Y45" s="51"/>
      <c r="Z45" s="51">
        <v>290</v>
      </c>
      <c r="AA45" s="51"/>
      <c r="AB45" s="51"/>
      <c r="AC45" s="51"/>
      <c r="AD45" s="51"/>
      <c r="AE45" s="51"/>
      <c r="AF45" s="51"/>
      <c r="AG45" s="51">
        <v>435</v>
      </c>
      <c r="AH45" s="75"/>
      <c r="AK45" s="75"/>
      <c r="AN45" s="75"/>
    </row>
    <row r="46" spans="1:40" ht="27" customHeight="1" x14ac:dyDescent="0.25">
      <c r="A46" s="100"/>
      <c r="B46" s="88" t="s">
        <v>94</v>
      </c>
      <c r="C46" s="80">
        <f t="shared" si="15"/>
        <v>3034.9500000000003</v>
      </c>
      <c r="D46" s="51"/>
      <c r="E46" s="51"/>
      <c r="F46" s="51"/>
      <c r="G46" s="51">
        <v>606.99</v>
      </c>
      <c r="H46" s="51">
        <v>606.99</v>
      </c>
      <c r="I46" s="51"/>
      <c r="J46" s="51"/>
      <c r="K46" s="51">
        <v>485.59199999999998</v>
      </c>
      <c r="L46" s="51">
        <v>485.59199999999998</v>
      </c>
      <c r="M46" s="51">
        <v>364.19400000000002</v>
      </c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>
        <v>485.59199999999998</v>
      </c>
      <c r="Z46" s="51"/>
      <c r="AA46" s="51"/>
      <c r="AB46" s="51"/>
      <c r="AC46" s="51"/>
      <c r="AD46" s="51"/>
      <c r="AE46" s="51"/>
      <c r="AF46" s="51"/>
      <c r="AG46" s="51"/>
      <c r="AH46" s="75"/>
      <c r="AK46" s="75"/>
      <c r="AN46" s="75"/>
    </row>
    <row r="47" spans="1:40" ht="22.5" customHeight="1" x14ac:dyDescent="0.25">
      <c r="A47" s="100"/>
      <c r="B47" s="88" t="s">
        <v>50</v>
      </c>
      <c r="C47" s="80">
        <f t="shared" si="15"/>
        <v>266.11</v>
      </c>
      <c r="D47" s="51"/>
      <c r="E47" s="51"/>
      <c r="F47" s="51"/>
      <c r="G47" s="51"/>
      <c r="H47" s="51"/>
      <c r="I47" s="51"/>
      <c r="J47" s="51">
        <v>136.51</v>
      </c>
      <c r="K47" s="51"/>
      <c r="L47" s="51"/>
      <c r="M47" s="51"/>
      <c r="N47" s="51"/>
      <c r="O47" s="51"/>
      <c r="P47" s="51"/>
      <c r="Q47" s="51"/>
      <c r="R47" s="51"/>
      <c r="S47" s="51">
        <v>129.6</v>
      </c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75"/>
      <c r="AK47" s="75"/>
      <c r="AN47" s="75"/>
    </row>
    <row r="48" spans="1:40" ht="55.5" customHeight="1" x14ac:dyDescent="0.25">
      <c r="A48" s="100">
        <v>8</v>
      </c>
      <c r="B48" s="103" t="s">
        <v>51</v>
      </c>
      <c r="C48" s="80">
        <f>C49+C50+C51+C52+C53+C54+C55+C56+C57+C58</f>
        <v>1624.8</v>
      </c>
      <c r="D48" s="80">
        <f t="shared" ref="D48:AG48" si="16">D49+D50+D51+D52+D53+D54+D55+D56</f>
        <v>79.349999999999994</v>
      </c>
      <c r="E48" s="80">
        <f t="shared" si="16"/>
        <v>84.440000000000012</v>
      </c>
      <c r="F48" s="80">
        <f t="shared" si="16"/>
        <v>45.660000000000004</v>
      </c>
      <c r="G48" s="80">
        <f t="shared" si="16"/>
        <v>81.31</v>
      </c>
      <c r="H48" s="80">
        <f t="shared" si="16"/>
        <v>83.92</v>
      </c>
      <c r="I48" s="80">
        <f t="shared" si="16"/>
        <v>45.660000000000004</v>
      </c>
      <c r="J48" s="80">
        <f t="shared" si="16"/>
        <v>86.36</v>
      </c>
      <c r="K48" s="80">
        <f t="shared" si="16"/>
        <v>82.53</v>
      </c>
      <c r="L48" s="80">
        <f t="shared" si="16"/>
        <v>39.010000000000005</v>
      </c>
      <c r="M48" s="80">
        <f t="shared" si="16"/>
        <v>24.620000000000005</v>
      </c>
      <c r="N48" s="80">
        <f t="shared" si="16"/>
        <v>40.24</v>
      </c>
      <c r="O48" s="80">
        <f t="shared" si="16"/>
        <v>30.18</v>
      </c>
      <c r="P48" s="80">
        <f t="shared" si="16"/>
        <v>12.270000000000001</v>
      </c>
      <c r="Q48" s="80">
        <f t="shared" si="16"/>
        <v>24.63</v>
      </c>
      <c r="R48" s="80">
        <f t="shared" si="16"/>
        <v>19.349999999999998</v>
      </c>
      <c r="S48" s="80">
        <f t="shared" si="16"/>
        <v>56.32</v>
      </c>
      <c r="T48" s="80">
        <f t="shared" si="16"/>
        <v>49.580000000000005</v>
      </c>
      <c r="U48" s="80">
        <f t="shared" si="16"/>
        <v>58.28</v>
      </c>
      <c r="V48" s="80">
        <f t="shared" si="16"/>
        <v>48.78</v>
      </c>
      <c r="W48" s="80">
        <f t="shared" si="16"/>
        <v>25.900000000000002</v>
      </c>
      <c r="X48" s="80">
        <f t="shared" si="16"/>
        <v>40.61</v>
      </c>
      <c r="Y48" s="80">
        <f t="shared" si="16"/>
        <v>52.440000000000005</v>
      </c>
      <c r="Z48" s="80">
        <f t="shared" si="16"/>
        <v>17.89</v>
      </c>
      <c r="AA48" s="80">
        <f t="shared" si="16"/>
        <v>37.67</v>
      </c>
      <c r="AB48" s="80">
        <f t="shared" si="16"/>
        <v>17.510000000000002</v>
      </c>
      <c r="AC48" s="80">
        <f t="shared" si="16"/>
        <v>71.38</v>
      </c>
      <c r="AD48" s="80">
        <f t="shared" si="16"/>
        <v>26.960000000000004</v>
      </c>
      <c r="AE48" s="80">
        <f t="shared" si="16"/>
        <v>48.330000000000005</v>
      </c>
      <c r="AF48" s="80">
        <f t="shared" si="16"/>
        <v>23.67</v>
      </c>
      <c r="AG48" s="80">
        <f t="shared" si="16"/>
        <v>26.520000000000003</v>
      </c>
      <c r="AH48" s="75"/>
      <c r="AK48" s="75"/>
      <c r="AN48" s="75"/>
    </row>
    <row r="49" spans="1:40" ht="22.5" customHeight="1" x14ac:dyDescent="0.25">
      <c r="A49" s="100"/>
      <c r="B49" s="106" t="s">
        <v>52</v>
      </c>
      <c r="C49" s="80">
        <f>D49+E49+F49+G49+H49+I49+J49+K49+L49+M49+N49+O49+P49+Q49+R49+S49+T49+U49+V49+W49+X49+Y49+Z49+AA49+AB49+AC49+AD49+AE49+AF49+AG49</f>
        <v>366.70999999999992</v>
      </c>
      <c r="D49" s="51">
        <v>15.1</v>
      </c>
      <c r="E49" s="51">
        <v>23.87</v>
      </c>
      <c r="F49" s="51">
        <v>12.91</v>
      </c>
      <c r="G49" s="51">
        <v>22.98</v>
      </c>
      <c r="H49" s="51">
        <v>23.68</v>
      </c>
      <c r="I49" s="51">
        <v>12.91</v>
      </c>
      <c r="J49" s="51">
        <v>24.43</v>
      </c>
      <c r="K49" s="51">
        <v>15.33</v>
      </c>
      <c r="L49" s="51">
        <v>10.92</v>
      </c>
      <c r="M49" s="51">
        <v>6.94</v>
      </c>
      <c r="N49" s="51">
        <v>11.38</v>
      </c>
      <c r="O49" s="51">
        <v>8.5299999999999994</v>
      </c>
      <c r="P49" s="51">
        <v>3.47</v>
      </c>
      <c r="Q49" s="51">
        <v>6.96</v>
      </c>
      <c r="R49" s="51">
        <v>5.47</v>
      </c>
      <c r="S49" s="51">
        <v>15.93</v>
      </c>
      <c r="T49" s="51">
        <v>14.04</v>
      </c>
      <c r="U49" s="51">
        <v>16.489999999999998</v>
      </c>
      <c r="V49" s="51">
        <v>13.81</v>
      </c>
      <c r="W49" s="51">
        <v>7.33</v>
      </c>
      <c r="X49" s="51">
        <v>11.5</v>
      </c>
      <c r="Y49" s="51">
        <v>14.84</v>
      </c>
      <c r="Z49" s="51">
        <v>5.0599999999999996</v>
      </c>
      <c r="AA49" s="51">
        <v>11.36</v>
      </c>
      <c r="AB49" s="51">
        <v>4.96</v>
      </c>
      <c r="AC49" s="51">
        <v>12.56</v>
      </c>
      <c r="AD49" s="51">
        <v>7.63</v>
      </c>
      <c r="AE49" s="51">
        <v>12.83</v>
      </c>
      <c r="AF49" s="51">
        <v>6.7</v>
      </c>
      <c r="AG49" s="51">
        <v>6.79</v>
      </c>
      <c r="AH49" s="75"/>
      <c r="AI49" s="75"/>
      <c r="AJ49" s="75"/>
      <c r="AK49" s="75"/>
      <c r="AL49" s="75"/>
      <c r="AM49" s="75"/>
      <c r="AN49" s="75"/>
    </row>
    <row r="50" spans="1:40" ht="25.5" customHeight="1" x14ac:dyDescent="0.25">
      <c r="A50" s="100"/>
      <c r="B50" s="106" t="s">
        <v>53</v>
      </c>
      <c r="C50" s="80">
        <f>D50+E50+F50+G50+H50+I50+J50+K50+L50+M50+N50+O50+P50+Q50+R50+S50+T50+U50+V50+W50+X50+Y50+Z50+AA50+AB50+AC50+AD50+AE50+AF50+AG50</f>
        <v>109.96</v>
      </c>
      <c r="D50" s="51">
        <v>4.53</v>
      </c>
      <c r="E50" s="51">
        <v>7.16</v>
      </c>
      <c r="F50" s="51">
        <v>3.87</v>
      </c>
      <c r="G50" s="51">
        <v>6.89</v>
      </c>
      <c r="H50" s="51">
        <v>7.25</v>
      </c>
      <c r="I50" s="51">
        <v>3.87</v>
      </c>
      <c r="J50" s="51">
        <v>7.25</v>
      </c>
      <c r="K50" s="51">
        <v>4.9000000000000004</v>
      </c>
      <c r="L50" s="51">
        <v>3.65</v>
      </c>
      <c r="M50" s="51">
        <v>2.14</v>
      </c>
      <c r="N50" s="51">
        <v>3.41</v>
      </c>
      <c r="O50" s="51">
        <v>2.56</v>
      </c>
      <c r="P50" s="51">
        <v>1.04</v>
      </c>
      <c r="Q50" s="51">
        <v>2.09</v>
      </c>
      <c r="R50" s="51">
        <v>1.64</v>
      </c>
      <c r="S50" s="51">
        <v>4.7300000000000004</v>
      </c>
      <c r="T50" s="51">
        <v>4.13</v>
      </c>
      <c r="U50" s="51">
        <v>4.8600000000000003</v>
      </c>
      <c r="V50" s="51">
        <v>4.07</v>
      </c>
      <c r="W50" s="51">
        <v>2.16</v>
      </c>
      <c r="X50" s="51">
        <v>3.39</v>
      </c>
      <c r="Y50" s="51">
        <v>4.37</v>
      </c>
      <c r="Z50" s="51">
        <v>1.49</v>
      </c>
      <c r="AA50" s="51">
        <v>3.06</v>
      </c>
      <c r="AB50" s="51">
        <v>1.46</v>
      </c>
      <c r="AC50" s="51">
        <v>3.7</v>
      </c>
      <c r="AD50" s="51">
        <v>2.25</v>
      </c>
      <c r="AE50" s="51">
        <v>3.78</v>
      </c>
      <c r="AF50" s="51">
        <v>1.97</v>
      </c>
      <c r="AG50" s="51">
        <v>2.29</v>
      </c>
      <c r="AH50" s="85"/>
      <c r="AI50" s="84"/>
      <c r="AJ50" s="84"/>
      <c r="AK50" s="85"/>
      <c r="AL50" s="84"/>
      <c r="AM50" s="84"/>
      <c r="AN50" s="85"/>
    </row>
    <row r="51" spans="1:40" ht="24" customHeight="1" x14ac:dyDescent="0.25">
      <c r="A51" s="100"/>
      <c r="B51" s="106" t="s">
        <v>54</v>
      </c>
      <c r="C51" s="80">
        <f>D51+E51+F51+G51+H51+I51+J51+K51+L51+M51+N51+O51+P51+Q51+R51+S51+T51+U51+V51+W51+X51+Y51+Z51+AA51+AB51+AC51+AD51+AE51+AF51+AG51</f>
        <v>191.60999999999999</v>
      </c>
      <c r="D51" s="51">
        <v>5.86</v>
      </c>
      <c r="E51" s="51">
        <v>12.47</v>
      </c>
      <c r="F51" s="51">
        <v>6.74</v>
      </c>
      <c r="G51" s="51">
        <v>12.01</v>
      </c>
      <c r="H51" s="51">
        <v>12.37</v>
      </c>
      <c r="I51" s="51">
        <v>6.74</v>
      </c>
      <c r="J51" s="51">
        <v>12.77</v>
      </c>
      <c r="K51" s="51">
        <v>8.01</v>
      </c>
      <c r="L51" s="51">
        <v>5.71</v>
      </c>
      <c r="M51" s="51">
        <v>3.63</v>
      </c>
      <c r="N51" s="51">
        <v>5.94</v>
      </c>
      <c r="O51" s="51">
        <v>4.46</v>
      </c>
      <c r="P51" s="51">
        <v>1.81</v>
      </c>
      <c r="Q51" s="51">
        <v>3.64</v>
      </c>
      <c r="R51" s="51">
        <v>2.86</v>
      </c>
      <c r="S51" s="51">
        <v>8.32</v>
      </c>
      <c r="T51" s="51">
        <v>7.33</v>
      </c>
      <c r="U51" s="51">
        <v>8.6199999999999992</v>
      </c>
      <c r="V51" s="51">
        <v>7.21</v>
      </c>
      <c r="W51" s="51">
        <v>3.83</v>
      </c>
      <c r="X51" s="51">
        <v>6.01</v>
      </c>
      <c r="Y51" s="51">
        <v>7.78</v>
      </c>
      <c r="Z51" s="51">
        <v>2.65</v>
      </c>
      <c r="AA51" s="51">
        <v>5.43</v>
      </c>
      <c r="AB51" s="51">
        <v>2.59</v>
      </c>
      <c r="AC51" s="51">
        <v>5.56</v>
      </c>
      <c r="AD51" s="51">
        <v>3.99</v>
      </c>
      <c r="AE51" s="51">
        <v>9.6999999999999993</v>
      </c>
      <c r="AF51" s="51">
        <v>3.5</v>
      </c>
      <c r="AG51" s="51">
        <v>4.07</v>
      </c>
      <c r="AH51" s="85"/>
      <c r="AI51" s="84"/>
      <c r="AJ51" s="84"/>
      <c r="AK51" s="85"/>
      <c r="AL51" s="84"/>
      <c r="AM51" s="84"/>
      <c r="AN51" s="85"/>
    </row>
    <row r="52" spans="1:40" ht="23.25" customHeight="1" x14ac:dyDescent="0.25">
      <c r="A52" s="100"/>
      <c r="B52" s="106" t="s">
        <v>55</v>
      </c>
      <c r="C52" s="80">
        <v>260.02999999999997</v>
      </c>
      <c r="D52" s="51">
        <v>10.71</v>
      </c>
      <c r="E52" s="51">
        <v>16.920000000000002</v>
      </c>
      <c r="F52" s="51">
        <v>9.15</v>
      </c>
      <c r="G52" s="51">
        <v>16.3</v>
      </c>
      <c r="H52" s="51">
        <v>16.79</v>
      </c>
      <c r="I52" s="51">
        <v>9.15</v>
      </c>
      <c r="J52" s="51">
        <v>17.32</v>
      </c>
      <c r="K52" s="51">
        <v>10.87</v>
      </c>
      <c r="L52" s="51">
        <v>7.74</v>
      </c>
      <c r="M52" s="51">
        <v>4.92</v>
      </c>
      <c r="N52" s="51">
        <v>8.07</v>
      </c>
      <c r="O52" s="51">
        <v>6.05</v>
      </c>
      <c r="P52" s="51">
        <v>2.46</v>
      </c>
      <c r="Q52" s="51">
        <v>4.93</v>
      </c>
      <c r="R52" s="51">
        <v>3.88</v>
      </c>
      <c r="S52" s="51">
        <v>11.3</v>
      </c>
      <c r="T52" s="51">
        <v>9.9499999999999993</v>
      </c>
      <c r="U52" s="51">
        <v>11.7</v>
      </c>
      <c r="V52" s="51">
        <v>9.7899999999999991</v>
      </c>
      <c r="W52" s="51">
        <v>5.2</v>
      </c>
      <c r="X52" s="51">
        <v>8.15</v>
      </c>
      <c r="Y52" s="51">
        <v>10.52</v>
      </c>
      <c r="Z52" s="51">
        <v>3.59</v>
      </c>
      <c r="AA52" s="51">
        <v>7.36</v>
      </c>
      <c r="AB52" s="51">
        <v>3.51</v>
      </c>
      <c r="AC52" s="51">
        <v>8.91</v>
      </c>
      <c r="AD52" s="51">
        <v>5.41</v>
      </c>
      <c r="AE52" s="51">
        <v>9.11</v>
      </c>
      <c r="AF52" s="51">
        <v>4.75</v>
      </c>
      <c r="AG52" s="51">
        <v>5.52</v>
      </c>
      <c r="AH52" s="85"/>
      <c r="AI52" s="84"/>
      <c r="AJ52" s="84"/>
      <c r="AK52" s="85"/>
      <c r="AL52" s="84"/>
      <c r="AM52" s="84"/>
      <c r="AN52" s="85"/>
    </row>
    <row r="53" spans="1:40" ht="23.25" customHeight="1" x14ac:dyDescent="0.25">
      <c r="A53" s="100"/>
      <c r="B53" s="106" t="s">
        <v>93</v>
      </c>
      <c r="C53" s="80">
        <f t="shared" ref="C53:C58" si="17">D53+E53+F53+G53+H53+I53+J53+K53+L53+M53+N53+O53+P53+Q53+R53+S53+T53+U53+V53+W53+X53+Y53+Z53+AA53+AB53+AC53+AD53+AE53+AF53+AG53</f>
        <v>84</v>
      </c>
      <c r="D53" s="51">
        <v>28</v>
      </c>
      <c r="E53" s="51"/>
      <c r="F53" s="51"/>
      <c r="G53" s="51"/>
      <c r="H53" s="51"/>
      <c r="I53" s="51"/>
      <c r="J53" s="51"/>
      <c r="K53" s="51">
        <v>28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>
        <v>28</v>
      </c>
      <c r="AD53" s="51"/>
      <c r="AE53" s="51"/>
      <c r="AF53" s="51"/>
      <c r="AG53" s="51"/>
      <c r="AH53" s="85"/>
      <c r="AI53" s="84"/>
      <c r="AJ53" s="84"/>
      <c r="AK53" s="85"/>
      <c r="AL53" s="84"/>
      <c r="AM53" s="84"/>
      <c r="AN53" s="85"/>
    </row>
    <row r="54" spans="1:40" s="86" customFormat="1" ht="23.25" customHeight="1" x14ac:dyDescent="0.25">
      <c r="A54" s="100"/>
      <c r="B54" s="88" t="s">
        <v>56</v>
      </c>
      <c r="C54" s="80">
        <f t="shared" si="17"/>
        <v>84.610000000000014</v>
      </c>
      <c r="D54" s="51">
        <v>3.46</v>
      </c>
      <c r="E54" s="51">
        <v>5.51</v>
      </c>
      <c r="F54" s="51">
        <v>2.98</v>
      </c>
      <c r="G54" s="51">
        <v>5.3</v>
      </c>
      <c r="H54" s="51">
        <v>5.46</v>
      </c>
      <c r="I54" s="51">
        <v>2.98</v>
      </c>
      <c r="J54" s="51">
        <v>5.64</v>
      </c>
      <c r="K54" s="51">
        <v>3.54</v>
      </c>
      <c r="L54" s="51">
        <v>2.52</v>
      </c>
      <c r="M54" s="51">
        <v>1.6</v>
      </c>
      <c r="N54" s="51">
        <v>2.62</v>
      </c>
      <c r="O54" s="51">
        <v>1.97</v>
      </c>
      <c r="P54" s="51">
        <v>0.8</v>
      </c>
      <c r="Q54" s="51">
        <v>1.61</v>
      </c>
      <c r="R54" s="51">
        <v>1.26</v>
      </c>
      <c r="S54" s="51">
        <v>3.68</v>
      </c>
      <c r="T54" s="51">
        <v>3.24</v>
      </c>
      <c r="U54" s="51">
        <v>3.81</v>
      </c>
      <c r="V54" s="51">
        <v>3.19</v>
      </c>
      <c r="W54" s="51">
        <v>1.69</v>
      </c>
      <c r="X54" s="51">
        <v>2.65</v>
      </c>
      <c r="Y54" s="51">
        <v>3.42</v>
      </c>
      <c r="Z54" s="51">
        <v>1.17</v>
      </c>
      <c r="AA54" s="51">
        <v>2.4</v>
      </c>
      <c r="AB54" s="51">
        <v>1.1399999999999999</v>
      </c>
      <c r="AC54" s="51">
        <v>2.9</v>
      </c>
      <c r="AD54" s="51">
        <v>1.76</v>
      </c>
      <c r="AE54" s="51">
        <v>2.96</v>
      </c>
      <c r="AF54" s="51">
        <v>1.55</v>
      </c>
      <c r="AG54" s="51">
        <v>1.8</v>
      </c>
      <c r="AH54" s="85"/>
      <c r="AI54" s="84"/>
      <c r="AJ54" s="84"/>
      <c r="AK54" s="85"/>
      <c r="AL54" s="84"/>
      <c r="AM54" s="84"/>
      <c r="AN54" s="85"/>
    </row>
    <row r="55" spans="1:40" s="86" customFormat="1" ht="23.25" customHeight="1" x14ac:dyDescent="0.25">
      <c r="A55" s="100"/>
      <c r="B55" s="88" t="s">
        <v>96</v>
      </c>
      <c r="C55" s="80">
        <f t="shared" si="17"/>
        <v>246.04999999999998</v>
      </c>
      <c r="D55" s="51">
        <v>10.11</v>
      </c>
      <c r="E55" s="51">
        <v>16.010000000000002</v>
      </c>
      <c r="F55" s="51">
        <v>8.66</v>
      </c>
      <c r="G55" s="51">
        <v>15.42</v>
      </c>
      <c r="H55" s="51">
        <v>15.89</v>
      </c>
      <c r="I55" s="51">
        <v>8.66</v>
      </c>
      <c r="J55" s="51">
        <v>16.39</v>
      </c>
      <c r="K55" s="51">
        <v>10.28</v>
      </c>
      <c r="L55" s="51">
        <v>7.33</v>
      </c>
      <c r="M55" s="51">
        <v>4.66</v>
      </c>
      <c r="N55" s="51">
        <v>7.63</v>
      </c>
      <c r="O55" s="51">
        <v>5.72</v>
      </c>
      <c r="P55" s="51">
        <v>2.33</v>
      </c>
      <c r="Q55" s="51">
        <v>4.67</v>
      </c>
      <c r="R55" s="51">
        <v>3.67</v>
      </c>
      <c r="S55" s="51">
        <v>10.69</v>
      </c>
      <c r="T55" s="51">
        <v>9.42</v>
      </c>
      <c r="U55" s="51">
        <v>11.07</v>
      </c>
      <c r="V55" s="51">
        <v>9.26</v>
      </c>
      <c r="W55" s="51">
        <v>4.92</v>
      </c>
      <c r="X55" s="51">
        <v>7.71</v>
      </c>
      <c r="Y55" s="51">
        <v>9.9600000000000009</v>
      </c>
      <c r="Z55" s="51">
        <v>3.4</v>
      </c>
      <c r="AA55" s="51">
        <v>6.97</v>
      </c>
      <c r="AB55" s="51">
        <v>3.33</v>
      </c>
      <c r="AC55" s="51">
        <v>8.43</v>
      </c>
      <c r="AD55" s="51">
        <v>5.12</v>
      </c>
      <c r="AE55" s="51">
        <v>8.61</v>
      </c>
      <c r="AF55" s="51">
        <v>4.5</v>
      </c>
      <c r="AG55" s="51">
        <v>5.23</v>
      </c>
      <c r="AH55" s="85"/>
      <c r="AI55" s="84"/>
      <c r="AJ55" s="84"/>
      <c r="AK55" s="85"/>
      <c r="AL55" s="84"/>
      <c r="AM55" s="84"/>
      <c r="AN55" s="85"/>
    </row>
    <row r="56" spans="1:40" s="86" customFormat="1" ht="23.25" customHeight="1" x14ac:dyDescent="0.25">
      <c r="A56" s="100"/>
      <c r="B56" s="88" t="s">
        <v>97</v>
      </c>
      <c r="C56" s="80">
        <f t="shared" si="17"/>
        <v>38.400000000000006</v>
      </c>
      <c r="D56" s="51">
        <v>1.58</v>
      </c>
      <c r="E56" s="51">
        <v>2.5</v>
      </c>
      <c r="F56" s="51">
        <v>1.35</v>
      </c>
      <c r="G56" s="51">
        <v>2.41</v>
      </c>
      <c r="H56" s="51">
        <v>2.48</v>
      </c>
      <c r="I56" s="51">
        <v>1.35</v>
      </c>
      <c r="J56" s="51">
        <v>2.56</v>
      </c>
      <c r="K56" s="51">
        <v>1.6</v>
      </c>
      <c r="L56" s="51">
        <v>1.1399999999999999</v>
      </c>
      <c r="M56" s="51">
        <v>0.73</v>
      </c>
      <c r="N56" s="51">
        <v>1.19</v>
      </c>
      <c r="O56" s="51">
        <v>0.89</v>
      </c>
      <c r="P56" s="51">
        <v>0.36</v>
      </c>
      <c r="Q56" s="51">
        <v>0.73</v>
      </c>
      <c r="R56" s="51">
        <v>0.56999999999999995</v>
      </c>
      <c r="S56" s="51">
        <v>1.67</v>
      </c>
      <c r="T56" s="51">
        <v>1.47</v>
      </c>
      <c r="U56" s="51">
        <v>1.73</v>
      </c>
      <c r="V56" s="51">
        <v>1.45</v>
      </c>
      <c r="W56" s="51">
        <v>0.77</v>
      </c>
      <c r="X56" s="51">
        <v>1.2</v>
      </c>
      <c r="Y56" s="51">
        <v>1.55</v>
      </c>
      <c r="Z56" s="51">
        <v>0.53</v>
      </c>
      <c r="AA56" s="51">
        <v>1.0900000000000001</v>
      </c>
      <c r="AB56" s="51">
        <v>0.52</v>
      </c>
      <c r="AC56" s="51">
        <v>1.32</v>
      </c>
      <c r="AD56" s="51">
        <v>0.8</v>
      </c>
      <c r="AE56" s="51">
        <v>1.34</v>
      </c>
      <c r="AF56" s="51">
        <v>0.7</v>
      </c>
      <c r="AG56" s="51">
        <v>0.82</v>
      </c>
      <c r="AH56" s="85"/>
      <c r="AI56" s="84"/>
      <c r="AJ56" s="84"/>
      <c r="AK56" s="85"/>
      <c r="AL56" s="84"/>
      <c r="AM56" s="84"/>
      <c r="AN56" s="85"/>
    </row>
    <row r="57" spans="1:40" s="86" customFormat="1" ht="23.25" customHeight="1" x14ac:dyDescent="0.25">
      <c r="A57" s="100"/>
      <c r="B57" s="88" t="s">
        <v>103</v>
      </c>
      <c r="C57" s="80">
        <f t="shared" si="17"/>
        <v>76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>
        <v>60</v>
      </c>
      <c r="U57" s="51"/>
      <c r="V57" s="51"/>
      <c r="W57" s="51"/>
      <c r="X57" s="51"/>
      <c r="Y57" s="51"/>
      <c r="Z57" s="51">
        <v>16</v>
      </c>
      <c r="AA57" s="51"/>
      <c r="AB57" s="51"/>
      <c r="AC57" s="51"/>
      <c r="AD57" s="51"/>
      <c r="AE57" s="51"/>
      <c r="AF57" s="51"/>
      <c r="AG57" s="51"/>
      <c r="AH57" s="85"/>
      <c r="AI57" s="84"/>
      <c r="AJ57" s="84"/>
      <c r="AK57" s="85"/>
      <c r="AL57" s="84"/>
      <c r="AM57" s="84"/>
      <c r="AN57" s="85"/>
    </row>
    <row r="58" spans="1:40" s="86" customFormat="1" ht="23.25" customHeight="1" x14ac:dyDescent="0.25">
      <c r="A58" s="100"/>
      <c r="B58" s="88" t="s">
        <v>104</v>
      </c>
      <c r="C58" s="80">
        <f t="shared" si="17"/>
        <v>167.43</v>
      </c>
      <c r="D58" s="51">
        <v>6.89</v>
      </c>
      <c r="E58" s="51">
        <v>10.9</v>
      </c>
      <c r="F58" s="51">
        <v>5.89</v>
      </c>
      <c r="G58" s="51">
        <v>10.49</v>
      </c>
      <c r="H58" s="51">
        <v>10.81</v>
      </c>
      <c r="I58" s="51">
        <v>5.89</v>
      </c>
      <c r="J58" s="51">
        <v>11.16</v>
      </c>
      <c r="K58" s="51">
        <v>7</v>
      </c>
      <c r="L58" s="51">
        <v>4.99</v>
      </c>
      <c r="M58" s="51">
        <v>3.17</v>
      </c>
      <c r="N58" s="51">
        <v>5.19</v>
      </c>
      <c r="O58" s="51">
        <v>3.89</v>
      </c>
      <c r="P58" s="51">
        <v>1.58</v>
      </c>
      <c r="Q58" s="51">
        <v>3.18</v>
      </c>
      <c r="R58" s="51">
        <v>2.5</v>
      </c>
      <c r="S58" s="51">
        <v>7.27</v>
      </c>
      <c r="T58" s="51">
        <v>6.41</v>
      </c>
      <c r="U58" s="51">
        <v>7.53</v>
      </c>
      <c r="V58" s="51">
        <v>6.3</v>
      </c>
      <c r="W58" s="51">
        <v>3.35</v>
      </c>
      <c r="X58" s="51">
        <v>5.25</v>
      </c>
      <c r="Y58" s="51">
        <v>6.78</v>
      </c>
      <c r="Z58" s="51">
        <v>2.31</v>
      </c>
      <c r="AA58" s="51">
        <v>4.74</v>
      </c>
      <c r="AB58" s="51">
        <v>2.2599999999999998</v>
      </c>
      <c r="AC58" s="51">
        <v>5.71</v>
      </c>
      <c r="AD58" s="51">
        <v>3.48</v>
      </c>
      <c r="AE58" s="51">
        <v>5.86</v>
      </c>
      <c r="AF58" s="51">
        <v>3.06</v>
      </c>
      <c r="AG58" s="51">
        <v>3.59</v>
      </c>
      <c r="AH58" s="85"/>
      <c r="AI58" s="84"/>
      <c r="AJ58" s="84"/>
      <c r="AK58" s="85"/>
      <c r="AL58" s="84"/>
      <c r="AM58" s="84"/>
      <c r="AN58" s="85"/>
    </row>
    <row r="59" spans="1:40" ht="23.25" customHeight="1" x14ac:dyDescent="0.25">
      <c r="A59" s="100">
        <v>9</v>
      </c>
      <c r="B59" s="102" t="s">
        <v>57</v>
      </c>
      <c r="C59" s="80">
        <f>C60+C61</f>
        <v>475.95000000000005</v>
      </c>
      <c r="D59" s="107">
        <f t="shared" ref="D59:Y59" si="18">D60+D61</f>
        <v>19.560000000000002</v>
      </c>
      <c r="E59" s="107">
        <f t="shared" si="18"/>
        <v>30.54</v>
      </c>
      <c r="F59" s="107">
        <f t="shared" si="18"/>
        <v>17.16</v>
      </c>
      <c r="G59" s="107">
        <f t="shared" si="18"/>
        <v>29.63</v>
      </c>
      <c r="H59" s="107">
        <f t="shared" si="18"/>
        <v>30.37</v>
      </c>
      <c r="I59" s="107">
        <f t="shared" si="18"/>
        <v>16.559999999999999</v>
      </c>
      <c r="J59" s="107">
        <f t="shared" si="18"/>
        <v>31.15</v>
      </c>
      <c r="K59" s="107">
        <f t="shared" si="18"/>
        <v>19.66</v>
      </c>
      <c r="L59" s="107">
        <f t="shared" si="18"/>
        <v>14.45</v>
      </c>
      <c r="M59" s="107">
        <f t="shared" si="18"/>
        <v>9.02</v>
      </c>
      <c r="N59" s="107">
        <f t="shared" si="18"/>
        <v>14.459999999999999</v>
      </c>
      <c r="O59" s="107">
        <f t="shared" si="18"/>
        <v>11.17</v>
      </c>
      <c r="P59" s="107">
        <f t="shared" si="18"/>
        <v>4.5600000000000005</v>
      </c>
      <c r="Q59" s="107">
        <f t="shared" si="18"/>
        <v>9.14</v>
      </c>
      <c r="R59" s="107">
        <f t="shared" si="18"/>
        <v>6.98</v>
      </c>
      <c r="S59" s="107">
        <f t="shared" si="18"/>
        <v>20.81</v>
      </c>
      <c r="T59" s="107">
        <f t="shared" si="18"/>
        <v>18.28</v>
      </c>
      <c r="U59" s="107">
        <f t="shared" si="18"/>
        <v>21.82</v>
      </c>
      <c r="V59" s="107">
        <f t="shared" si="18"/>
        <v>18.079999999999998</v>
      </c>
      <c r="W59" s="107">
        <f t="shared" si="18"/>
        <v>9.48</v>
      </c>
      <c r="X59" s="107">
        <f t="shared" si="18"/>
        <v>14.97</v>
      </c>
      <c r="Y59" s="107">
        <f t="shared" si="18"/>
        <v>19.22</v>
      </c>
      <c r="Z59" s="107">
        <f t="shared" ref="Z59:AG59" si="19">Z60+Z61</f>
        <v>6.8100000000000005</v>
      </c>
      <c r="AA59" s="107">
        <f t="shared" si="19"/>
        <v>13.360000000000001</v>
      </c>
      <c r="AB59" s="107">
        <f t="shared" si="19"/>
        <v>6.41</v>
      </c>
      <c r="AC59" s="107">
        <f t="shared" si="19"/>
        <v>16.34</v>
      </c>
      <c r="AD59" s="107">
        <f t="shared" si="19"/>
        <v>9.85</v>
      </c>
      <c r="AE59" s="107">
        <f t="shared" si="19"/>
        <v>16.579999999999998</v>
      </c>
      <c r="AF59" s="107">
        <f t="shared" si="19"/>
        <v>9.3000000000000007</v>
      </c>
      <c r="AG59" s="107">
        <f t="shared" si="19"/>
        <v>10.23</v>
      </c>
      <c r="AH59" s="75"/>
      <c r="AK59" s="75"/>
      <c r="AN59" s="75"/>
    </row>
    <row r="60" spans="1:40" s="86" customFormat="1" ht="23.25" customHeight="1" x14ac:dyDescent="0.25">
      <c r="A60" s="100"/>
      <c r="B60" s="82" t="s">
        <v>58</v>
      </c>
      <c r="C60" s="80">
        <f>D60+E60+F60+G60+H60+I60+J60+K60+L60+M60+N60+O60+P60+Q60+R60+S60+T60+U60+V60+W60+X60+Y60+Z60+AA60+AB60+AC60+AD60+AE60+AF60+AG60</f>
        <v>333.98</v>
      </c>
      <c r="D60" s="51">
        <v>13.72</v>
      </c>
      <c r="E60" s="51">
        <v>21.74</v>
      </c>
      <c r="F60" s="51">
        <v>11.76</v>
      </c>
      <c r="G60" s="51">
        <v>20.93</v>
      </c>
      <c r="H60" s="51">
        <v>21.57</v>
      </c>
      <c r="I60" s="51">
        <v>11.76</v>
      </c>
      <c r="J60" s="51">
        <v>22.25</v>
      </c>
      <c r="K60" s="51">
        <v>13.96</v>
      </c>
      <c r="L60" s="51">
        <v>9.9499999999999993</v>
      </c>
      <c r="M60" s="51">
        <v>6.32</v>
      </c>
      <c r="N60" s="51">
        <v>10.36</v>
      </c>
      <c r="O60" s="51">
        <v>7.77</v>
      </c>
      <c r="P60" s="51">
        <v>3.16</v>
      </c>
      <c r="Q60" s="51">
        <v>6.34</v>
      </c>
      <c r="R60" s="51">
        <v>4.9800000000000004</v>
      </c>
      <c r="S60" s="51">
        <v>14.51</v>
      </c>
      <c r="T60" s="51">
        <v>12.78</v>
      </c>
      <c r="U60" s="51">
        <v>15.02</v>
      </c>
      <c r="V60" s="51">
        <v>12.58</v>
      </c>
      <c r="W60" s="51">
        <v>6.68</v>
      </c>
      <c r="X60" s="51">
        <v>10.47</v>
      </c>
      <c r="Y60" s="51">
        <v>13.52</v>
      </c>
      <c r="Z60" s="51">
        <v>4.6100000000000003</v>
      </c>
      <c r="AA60" s="51">
        <v>9.4600000000000009</v>
      </c>
      <c r="AB60" s="51">
        <v>4.51</v>
      </c>
      <c r="AC60" s="51">
        <v>11.44</v>
      </c>
      <c r="AD60" s="51">
        <v>6.95</v>
      </c>
      <c r="AE60" s="51">
        <v>11.68</v>
      </c>
      <c r="AF60" s="51">
        <v>6.1</v>
      </c>
      <c r="AG60" s="51">
        <v>7.1</v>
      </c>
      <c r="AH60" s="85"/>
      <c r="AI60" s="84"/>
      <c r="AJ60" s="84"/>
      <c r="AK60" s="85"/>
      <c r="AL60" s="84"/>
      <c r="AM60" s="84"/>
      <c r="AN60" s="85"/>
    </row>
    <row r="61" spans="1:40" s="86" customFormat="1" ht="27.75" customHeight="1" x14ac:dyDescent="0.25">
      <c r="A61" s="100"/>
      <c r="B61" s="82" t="s">
        <v>59</v>
      </c>
      <c r="C61" s="80">
        <f>D61+E61+F61+G61+H61+I61+J61+K61+L61+M61+N61+O61+P61+Q61+R61+S61+T61+U61+V61+W61+X61+Y61+Z61+AA61+AB61+AC61+AD61+AE61+AF61+AG61</f>
        <v>141.97</v>
      </c>
      <c r="D61" s="51">
        <v>5.84</v>
      </c>
      <c r="E61" s="51">
        <v>8.8000000000000007</v>
      </c>
      <c r="F61" s="51">
        <v>5.4</v>
      </c>
      <c r="G61" s="51">
        <v>8.6999999999999993</v>
      </c>
      <c r="H61" s="51">
        <v>8.8000000000000007</v>
      </c>
      <c r="I61" s="51">
        <v>4.8</v>
      </c>
      <c r="J61" s="51">
        <v>8.9</v>
      </c>
      <c r="K61" s="51">
        <v>5.7</v>
      </c>
      <c r="L61" s="51">
        <v>4.5</v>
      </c>
      <c r="M61" s="51">
        <v>2.7</v>
      </c>
      <c r="N61" s="51">
        <v>4.0999999999999996</v>
      </c>
      <c r="O61" s="51">
        <v>3.4</v>
      </c>
      <c r="P61" s="51">
        <v>1.4</v>
      </c>
      <c r="Q61" s="51">
        <v>2.8</v>
      </c>
      <c r="R61" s="51">
        <v>2</v>
      </c>
      <c r="S61" s="51">
        <v>6.3</v>
      </c>
      <c r="T61" s="51">
        <v>5.5</v>
      </c>
      <c r="U61" s="51">
        <v>6.8</v>
      </c>
      <c r="V61" s="51">
        <v>5.5</v>
      </c>
      <c r="W61" s="51">
        <v>2.8</v>
      </c>
      <c r="X61" s="51">
        <v>4.5</v>
      </c>
      <c r="Y61" s="51">
        <v>5.7</v>
      </c>
      <c r="Z61" s="51">
        <v>2.2000000000000002</v>
      </c>
      <c r="AA61" s="51">
        <v>3.9</v>
      </c>
      <c r="AB61" s="51">
        <v>1.9</v>
      </c>
      <c r="AC61" s="51">
        <v>4.9000000000000004</v>
      </c>
      <c r="AD61" s="51">
        <v>2.9</v>
      </c>
      <c r="AE61" s="51">
        <v>4.9000000000000004</v>
      </c>
      <c r="AF61" s="51">
        <v>3.2</v>
      </c>
      <c r="AG61" s="51">
        <v>3.13</v>
      </c>
      <c r="AH61" s="85"/>
      <c r="AI61" s="84"/>
      <c r="AJ61" s="84"/>
      <c r="AK61" s="85"/>
      <c r="AL61" s="84"/>
      <c r="AM61" s="84"/>
      <c r="AN61" s="85"/>
    </row>
    <row r="62" spans="1:40" s="86" customFormat="1" ht="26.25" customHeight="1" x14ac:dyDescent="0.25">
      <c r="A62" s="100">
        <v>10</v>
      </c>
      <c r="B62" s="76" t="s">
        <v>60</v>
      </c>
      <c r="C62" s="80">
        <f>C63+C64+C65+C66+C69+0.01</f>
        <v>16740.814000000002</v>
      </c>
      <c r="D62" s="80">
        <f t="shared" ref="D62:AG62" si="20">D63+D64+D65+D66+D69</f>
        <v>680.98000000000013</v>
      </c>
      <c r="E62" s="80">
        <f t="shared" si="20"/>
        <v>1066.78</v>
      </c>
      <c r="F62" s="80">
        <f t="shared" si="20"/>
        <v>582.33000000000004</v>
      </c>
      <c r="G62" s="80">
        <f t="shared" si="20"/>
        <v>1016.5699999999999</v>
      </c>
      <c r="H62" s="80">
        <f t="shared" si="20"/>
        <v>1048.0700000000002</v>
      </c>
      <c r="I62" s="80">
        <f t="shared" si="20"/>
        <v>582.21</v>
      </c>
      <c r="J62" s="80">
        <f t="shared" si="20"/>
        <v>1082.02</v>
      </c>
      <c r="K62" s="80">
        <f t="shared" si="20"/>
        <v>691.2399999999999</v>
      </c>
      <c r="L62" s="80">
        <f t="shared" si="20"/>
        <v>492.56</v>
      </c>
      <c r="M62" s="80">
        <f t="shared" si="20"/>
        <v>313.20999999999998</v>
      </c>
      <c r="N62" s="80">
        <f t="shared" si="20"/>
        <v>513.12</v>
      </c>
      <c r="O62" s="80">
        <f t="shared" si="20"/>
        <v>384.71</v>
      </c>
      <c r="P62" s="80">
        <f t="shared" si="20"/>
        <v>156.27999999999997</v>
      </c>
      <c r="Q62" s="80">
        <f t="shared" si="20"/>
        <v>313.83000000000004</v>
      </c>
      <c r="R62" s="80">
        <f t="shared" si="20"/>
        <v>246.58000000000004</v>
      </c>
      <c r="S62" s="80">
        <f t="shared" si="20"/>
        <v>715.5</v>
      </c>
      <c r="T62" s="80">
        <f t="shared" si="20"/>
        <v>632.56999999999994</v>
      </c>
      <c r="U62" s="80">
        <f t="shared" si="20"/>
        <v>734.37</v>
      </c>
      <c r="V62" s="80">
        <f t="shared" si="20"/>
        <v>622.78</v>
      </c>
      <c r="W62" s="80">
        <f t="shared" si="20"/>
        <v>330.79</v>
      </c>
      <c r="X62" s="80">
        <f t="shared" si="20"/>
        <v>518.6</v>
      </c>
      <c r="Y62" s="80">
        <f t="shared" si="20"/>
        <v>669.12000000000012</v>
      </c>
      <c r="Z62" s="80">
        <f t="shared" si="20"/>
        <v>228.66</v>
      </c>
      <c r="AA62" s="80">
        <f t="shared" si="20"/>
        <v>468.21</v>
      </c>
      <c r="AB62" s="80">
        <f t="shared" si="20"/>
        <v>223.81000000000006</v>
      </c>
      <c r="AC62" s="80">
        <f t="shared" si="20"/>
        <v>566.24</v>
      </c>
      <c r="AD62" s="80">
        <f t="shared" si="20"/>
        <v>344.12000000000006</v>
      </c>
      <c r="AE62" s="80">
        <f t="shared" si="20"/>
        <v>578.30400000000009</v>
      </c>
      <c r="AF62" s="80">
        <f t="shared" si="20"/>
        <v>302.39000000000004</v>
      </c>
      <c r="AG62" s="80">
        <f t="shared" si="20"/>
        <v>351.35</v>
      </c>
      <c r="AH62" s="85"/>
      <c r="AI62" s="84"/>
      <c r="AJ62" s="84"/>
      <c r="AK62" s="85"/>
      <c r="AL62" s="84"/>
      <c r="AM62" s="84"/>
      <c r="AN62" s="85"/>
    </row>
    <row r="63" spans="1:40" s="86" customFormat="1" ht="24.75" customHeight="1" x14ac:dyDescent="0.25">
      <c r="A63" s="100">
        <v>11</v>
      </c>
      <c r="B63" s="76" t="s">
        <v>61</v>
      </c>
      <c r="C63" s="80">
        <f>D63+E63+F63+G63+H63+I63+J63+K63+L63+M63+N63+O63+P63+Q63+R63+S63+T63+U63+V63+W63+X63+Y63+Z63+AA63+AB63+AC63+AD63+AE63+AF63+AG63</f>
        <v>3622.5699999999997</v>
      </c>
      <c r="D63" s="51">
        <v>149.15</v>
      </c>
      <c r="E63" s="51">
        <v>235.78</v>
      </c>
      <c r="F63" s="51">
        <v>127.51</v>
      </c>
      <c r="G63" s="51">
        <v>227.02</v>
      </c>
      <c r="H63" s="51">
        <v>233.92</v>
      </c>
      <c r="I63" s="51">
        <v>127.51</v>
      </c>
      <c r="J63" s="51">
        <v>241.35</v>
      </c>
      <c r="K63" s="51">
        <v>151.38999999999999</v>
      </c>
      <c r="L63" s="51">
        <v>107.87</v>
      </c>
      <c r="M63" s="51">
        <v>68.599999999999994</v>
      </c>
      <c r="N63" s="51">
        <v>112.38</v>
      </c>
      <c r="O63" s="51">
        <v>84.26</v>
      </c>
      <c r="P63" s="51">
        <v>34.229999999999997</v>
      </c>
      <c r="Q63" s="51">
        <v>68.73</v>
      </c>
      <c r="R63" s="51">
        <v>54</v>
      </c>
      <c r="S63" s="51">
        <v>157.36000000000001</v>
      </c>
      <c r="T63" s="51">
        <v>138.66</v>
      </c>
      <c r="U63" s="51">
        <v>162.94</v>
      </c>
      <c r="V63" s="51">
        <v>136.4</v>
      </c>
      <c r="W63" s="51">
        <v>72.45</v>
      </c>
      <c r="X63" s="51">
        <v>113.58</v>
      </c>
      <c r="Y63" s="51">
        <v>146.62</v>
      </c>
      <c r="Z63" s="51">
        <v>50.02</v>
      </c>
      <c r="AA63" s="51">
        <v>102.57</v>
      </c>
      <c r="AB63" s="51">
        <v>48.96</v>
      </c>
      <c r="AC63" s="51">
        <v>124.06</v>
      </c>
      <c r="AD63" s="51">
        <v>75.37</v>
      </c>
      <c r="AE63" s="51">
        <v>126.71</v>
      </c>
      <c r="AF63" s="51">
        <v>66.209999999999994</v>
      </c>
      <c r="AG63" s="51">
        <v>76.959999999999994</v>
      </c>
      <c r="AH63" s="85"/>
      <c r="AI63" s="84"/>
      <c r="AJ63" s="84"/>
      <c r="AK63" s="85"/>
      <c r="AL63" s="84"/>
      <c r="AM63" s="84"/>
      <c r="AN63" s="85"/>
    </row>
    <row r="64" spans="1:40" ht="21" customHeight="1" x14ac:dyDescent="0.25">
      <c r="A64" s="100">
        <v>12</v>
      </c>
      <c r="B64" s="108" t="s">
        <v>62</v>
      </c>
      <c r="C64" s="80">
        <f>D64+E64+F64+G64+H64+I64+J64+K64+L64+M64+N64+O64+P64+Q64+R64+S64+T64+U64+V64+W64+X64+Y64+Z64+AA64+AB64+AC64+AD64+AE64+AF64+AG64</f>
        <v>9587.5970000000016</v>
      </c>
      <c r="D64" s="51">
        <v>394.72</v>
      </c>
      <c r="E64" s="51">
        <v>624.03</v>
      </c>
      <c r="F64" s="51">
        <v>337.47</v>
      </c>
      <c r="G64" s="51">
        <v>600.85</v>
      </c>
      <c r="H64" s="51">
        <v>619.11</v>
      </c>
      <c r="I64" s="51">
        <v>337.47</v>
      </c>
      <c r="J64" s="51">
        <v>638.78</v>
      </c>
      <c r="K64" s="51">
        <v>400.68</v>
      </c>
      <c r="L64" s="51">
        <v>285.5</v>
      </c>
      <c r="M64" s="51">
        <v>181.55</v>
      </c>
      <c r="N64" s="51">
        <v>297.44</v>
      </c>
      <c r="O64" s="51">
        <v>222.99</v>
      </c>
      <c r="P64" s="51">
        <v>90.6</v>
      </c>
      <c r="Q64" s="51">
        <v>181.91</v>
      </c>
      <c r="R64" s="51">
        <v>142.93</v>
      </c>
      <c r="S64" s="51">
        <v>416.49</v>
      </c>
      <c r="T64" s="51">
        <v>366.97</v>
      </c>
      <c r="U64" s="51">
        <v>431.23</v>
      </c>
      <c r="V64" s="51">
        <v>361</v>
      </c>
      <c r="W64" s="51">
        <v>191.74</v>
      </c>
      <c r="X64" s="51">
        <v>300.60000000000002</v>
      </c>
      <c r="Y64" s="51">
        <v>388.04</v>
      </c>
      <c r="Z64" s="51">
        <v>132.38999999999999</v>
      </c>
      <c r="AA64" s="51">
        <v>271.45</v>
      </c>
      <c r="AB64" s="51">
        <v>129.58000000000001</v>
      </c>
      <c r="AC64" s="51">
        <v>328.34</v>
      </c>
      <c r="AD64" s="51">
        <v>199.46</v>
      </c>
      <c r="AE64" s="51">
        <v>335.36700000000002</v>
      </c>
      <c r="AF64" s="51">
        <v>175.23</v>
      </c>
      <c r="AG64" s="51">
        <v>203.68</v>
      </c>
      <c r="AH64" s="75"/>
      <c r="AK64" s="75"/>
      <c r="AN64" s="75"/>
    </row>
    <row r="65" spans="1:40" ht="22.5" customHeight="1" x14ac:dyDescent="0.25">
      <c r="A65" s="100">
        <v>13</v>
      </c>
      <c r="B65" s="108" t="s">
        <v>46</v>
      </c>
      <c r="C65" s="80">
        <f>D65+E65+F65+G65+H65+I65+J65+K65+L65+M65+N65+O65+P65+Q65+R65+S65+T65+U65+V65+W65+X65+Y65+Z65+AA65+AB65+AC65+AD65+AE65+AF65+AG65</f>
        <v>2175.2600000000002</v>
      </c>
      <c r="D65" s="51">
        <v>92.97</v>
      </c>
      <c r="E65" s="51">
        <v>136.99</v>
      </c>
      <c r="F65" s="51">
        <v>79.489999999999995</v>
      </c>
      <c r="G65" s="51">
        <v>121.53</v>
      </c>
      <c r="H65" s="51">
        <v>125.83</v>
      </c>
      <c r="I65" s="51">
        <v>79.489999999999995</v>
      </c>
      <c r="J65" s="51">
        <v>130.46</v>
      </c>
      <c r="K65" s="51">
        <v>94.38</v>
      </c>
      <c r="L65" s="51">
        <v>67.25</v>
      </c>
      <c r="M65" s="51">
        <v>42.77</v>
      </c>
      <c r="N65" s="51">
        <v>70.06</v>
      </c>
      <c r="O65" s="51">
        <v>52.53</v>
      </c>
      <c r="P65" s="51">
        <v>21.34</v>
      </c>
      <c r="Q65" s="51">
        <v>42.85</v>
      </c>
      <c r="R65" s="51">
        <v>33.67</v>
      </c>
      <c r="S65" s="51">
        <v>95.1</v>
      </c>
      <c r="T65" s="51">
        <v>85.92</v>
      </c>
      <c r="U65" s="51">
        <v>92</v>
      </c>
      <c r="V65" s="51">
        <v>85.03</v>
      </c>
      <c r="W65" s="51">
        <v>45.16</v>
      </c>
      <c r="X65" s="51">
        <v>70.81</v>
      </c>
      <c r="Y65" s="51">
        <v>91.4</v>
      </c>
      <c r="Z65" s="51">
        <v>31.18</v>
      </c>
      <c r="AA65" s="51">
        <v>63.94</v>
      </c>
      <c r="AB65" s="51">
        <v>30.52</v>
      </c>
      <c r="AC65" s="51">
        <v>77.34</v>
      </c>
      <c r="AD65" s="51">
        <v>46.98</v>
      </c>
      <c r="AE65" s="51">
        <v>79.010000000000005</v>
      </c>
      <c r="AF65" s="51">
        <v>41.28</v>
      </c>
      <c r="AG65" s="51">
        <v>47.98</v>
      </c>
      <c r="AH65" s="75"/>
      <c r="AK65" s="75"/>
      <c r="AN65" s="75"/>
    </row>
    <row r="66" spans="1:40" ht="27" customHeight="1" x14ac:dyDescent="0.25">
      <c r="A66" s="100">
        <v>14</v>
      </c>
      <c r="B66" s="103" t="s">
        <v>63</v>
      </c>
      <c r="C66" s="80">
        <f>C67+C68</f>
        <v>455.81700000000001</v>
      </c>
      <c r="D66" s="80">
        <f t="shared" ref="D66:Y66" si="21">D68</f>
        <v>6.44</v>
      </c>
      <c r="E66" s="80">
        <f t="shared" si="21"/>
        <v>10.37</v>
      </c>
      <c r="F66" s="80">
        <f t="shared" si="21"/>
        <v>5.62</v>
      </c>
      <c r="G66" s="80">
        <f t="shared" si="21"/>
        <v>9.8000000000000007</v>
      </c>
      <c r="H66" s="80">
        <f t="shared" si="21"/>
        <v>10.09</v>
      </c>
      <c r="I66" s="80">
        <f t="shared" si="21"/>
        <v>5.5</v>
      </c>
      <c r="J66" s="80">
        <f t="shared" si="21"/>
        <v>10.41</v>
      </c>
      <c r="K66" s="80">
        <f t="shared" si="21"/>
        <v>6.53</v>
      </c>
      <c r="L66" s="80">
        <f t="shared" si="21"/>
        <v>4.6500000000000004</v>
      </c>
      <c r="M66" s="80">
        <f t="shared" si="21"/>
        <v>2.96</v>
      </c>
      <c r="N66" s="80">
        <f t="shared" si="21"/>
        <v>4.8499999999999996</v>
      </c>
      <c r="O66" s="80">
        <f t="shared" si="21"/>
        <v>3.64</v>
      </c>
      <c r="P66" s="80">
        <f t="shared" si="21"/>
        <v>1.48</v>
      </c>
      <c r="Q66" s="80">
        <f t="shared" si="21"/>
        <v>2.97</v>
      </c>
      <c r="R66" s="80">
        <f t="shared" si="21"/>
        <v>2.33</v>
      </c>
      <c r="S66" s="80">
        <f t="shared" si="21"/>
        <v>6.79</v>
      </c>
      <c r="T66" s="80">
        <f t="shared" si="21"/>
        <v>5.98</v>
      </c>
      <c r="U66" s="80">
        <f t="shared" si="21"/>
        <v>7.03</v>
      </c>
      <c r="V66" s="80">
        <f t="shared" si="21"/>
        <v>5.89</v>
      </c>
      <c r="W66" s="80">
        <f t="shared" si="21"/>
        <v>3.13</v>
      </c>
      <c r="X66" s="80">
        <f t="shared" si="21"/>
        <v>4.9000000000000004</v>
      </c>
      <c r="Y66" s="80">
        <f t="shared" si="21"/>
        <v>6.33</v>
      </c>
      <c r="Z66" s="80">
        <f t="shared" ref="Z66:AG66" si="22">Z68</f>
        <v>2.16</v>
      </c>
      <c r="AA66" s="80">
        <f t="shared" si="22"/>
        <v>4.43</v>
      </c>
      <c r="AB66" s="80">
        <f t="shared" si="22"/>
        <v>2.11</v>
      </c>
      <c r="AC66" s="80">
        <f t="shared" si="22"/>
        <v>5.35</v>
      </c>
      <c r="AD66" s="80">
        <f t="shared" si="22"/>
        <v>3.25</v>
      </c>
      <c r="AE66" s="80">
        <f t="shared" si="22"/>
        <v>5.1470000000000002</v>
      </c>
      <c r="AF66" s="80">
        <f t="shared" si="22"/>
        <v>2.86</v>
      </c>
      <c r="AG66" s="80">
        <f t="shared" si="22"/>
        <v>3.32</v>
      </c>
      <c r="AH66" s="75"/>
      <c r="AK66" s="75"/>
      <c r="AN66" s="75"/>
    </row>
    <row r="67" spans="1:40" ht="27" customHeight="1" x14ac:dyDescent="0.25">
      <c r="A67" s="109"/>
      <c r="B67" s="106" t="s">
        <v>99</v>
      </c>
      <c r="C67" s="80">
        <v>299.5</v>
      </c>
      <c r="D67" s="51">
        <v>12.66</v>
      </c>
      <c r="E67" s="51">
        <v>20.010000000000002</v>
      </c>
      <c r="F67" s="51">
        <v>10.82</v>
      </c>
      <c r="G67" s="51">
        <v>19.260000000000002</v>
      </c>
      <c r="H67" s="51">
        <v>19.850000000000001</v>
      </c>
      <c r="I67" s="51">
        <v>10.82</v>
      </c>
      <c r="J67" s="51">
        <v>20.48</v>
      </c>
      <c r="K67" s="51">
        <v>12.85</v>
      </c>
      <c r="L67" s="51">
        <v>9.15</v>
      </c>
      <c r="M67" s="51">
        <v>5.82</v>
      </c>
      <c r="N67" s="51">
        <v>9.5399999999999991</v>
      </c>
      <c r="O67" s="51">
        <v>7.15</v>
      </c>
      <c r="P67" s="51">
        <v>2.9</v>
      </c>
      <c r="Q67" s="51">
        <v>5.83</v>
      </c>
      <c r="R67" s="51">
        <v>4.58</v>
      </c>
      <c r="S67" s="51">
        <v>13.35</v>
      </c>
      <c r="T67" s="51">
        <v>11.77</v>
      </c>
      <c r="U67" s="51">
        <v>13.83</v>
      </c>
      <c r="V67" s="51">
        <v>11.57</v>
      </c>
      <c r="W67" s="51">
        <v>6.15</v>
      </c>
      <c r="X67" s="51">
        <v>9.64</v>
      </c>
      <c r="Y67" s="51">
        <v>12.44</v>
      </c>
      <c r="Z67" s="51">
        <v>4.24</v>
      </c>
      <c r="AA67" s="51">
        <v>8.6999999999999993</v>
      </c>
      <c r="AB67" s="51">
        <v>4.1500000000000004</v>
      </c>
      <c r="AC67" s="51">
        <v>10.53</v>
      </c>
      <c r="AD67" s="51">
        <v>6.4</v>
      </c>
      <c r="AE67" s="51">
        <v>10.75</v>
      </c>
      <c r="AF67" s="51">
        <v>5.62</v>
      </c>
      <c r="AG67" s="51">
        <v>6.54</v>
      </c>
      <c r="AH67" s="110"/>
      <c r="AK67" s="110"/>
      <c r="AN67" s="110"/>
    </row>
    <row r="68" spans="1:40" ht="20.25" customHeight="1" x14ac:dyDescent="0.25">
      <c r="A68" s="100"/>
      <c r="B68" s="108" t="s">
        <v>64</v>
      </c>
      <c r="C68" s="80">
        <f>D68+E68+F68+G68+H68+I68+J68+K68+L68+M68+N68+O68+P68+Q68+R68+S68+T68+U68+V68+W68+X68+Y68+Z68+AA68+AB68+AC68+AD68+AE68+AF68+AG68</f>
        <v>156.31700000000004</v>
      </c>
      <c r="D68" s="51">
        <v>6.44</v>
      </c>
      <c r="E68" s="51">
        <v>10.37</v>
      </c>
      <c r="F68" s="51">
        <v>5.62</v>
      </c>
      <c r="G68" s="51">
        <v>9.8000000000000007</v>
      </c>
      <c r="H68" s="51">
        <v>10.09</v>
      </c>
      <c r="I68" s="51">
        <v>5.5</v>
      </c>
      <c r="J68" s="51">
        <v>10.41</v>
      </c>
      <c r="K68" s="51">
        <v>6.53</v>
      </c>
      <c r="L68" s="51">
        <v>4.6500000000000004</v>
      </c>
      <c r="M68" s="51">
        <v>2.96</v>
      </c>
      <c r="N68" s="51">
        <v>4.8499999999999996</v>
      </c>
      <c r="O68" s="51">
        <v>3.64</v>
      </c>
      <c r="P68" s="51">
        <v>1.48</v>
      </c>
      <c r="Q68" s="51">
        <v>2.97</v>
      </c>
      <c r="R68" s="51">
        <v>2.33</v>
      </c>
      <c r="S68" s="51">
        <v>6.79</v>
      </c>
      <c r="T68" s="51">
        <v>5.98</v>
      </c>
      <c r="U68" s="51">
        <v>7.03</v>
      </c>
      <c r="V68" s="51">
        <v>5.89</v>
      </c>
      <c r="W68" s="51">
        <v>3.13</v>
      </c>
      <c r="X68" s="51">
        <v>4.9000000000000004</v>
      </c>
      <c r="Y68" s="51">
        <v>6.33</v>
      </c>
      <c r="Z68" s="51">
        <v>2.16</v>
      </c>
      <c r="AA68" s="51">
        <v>4.43</v>
      </c>
      <c r="AB68" s="51">
        <v>2.11</v>
      </c>
      <c r="AC68" s="51">
        <v>5.35</v>
      </c>
      <c r="AD68" s="51">
        <v>3.25</v>
      </c>
      <c r="AE68" s="51">
        <v>5.1470000000000002</v>
      </c>
      <c r="AF68" s="51">
        <v>2.86</v>
      </c>
      <c r="AG68" s="51">
        <v>3.32</v>
      </c>
      <c r="AH68" s="75"/>
      <c r="AK68" s="75"/>
      <c r="AN68" s="75"/>
    </row>
    <row r="69" spans="1:40" s="111" customFormat="1" ht="34.5" customHeight="1" x14ac:dyDescent="0.25">
      <c r="A69" s="100">
        <v>15</v>
      </c>
      <c r="B69" s="79" t="s">
        <v>65</v>
      </c>
      <c r="C69" s="80">
        <f>C70+C71+C72+C73+C74+C75+C76+C77+C78+C79+C80</f>
        <v>899.56</v>
      </c>
      <c r="D69" s="80">
        <f t="shared" ref="D69:Y69" si="23">D70+D71+D72+D73+D74+D75+D76+D77+D78+D79+D80+D82</f>
        <v>37.699999999999996</v>
      </c>
      <c r="E69" s="80">
        <f t="shared" si="23"/>
        <v>59.61</v>
      </c>
      <c r="F69" s="80">
        <f t="shared" si="23"/>
        <v>32.24</v>
      </c>
      <c r="G69" s="80">
        <f t="shared" si="23"/>
        <v>57.37</v>
      </c>
      <c r="H69" s="80">
        <f t="shared" si="23"/>
        <v>59.120000000000012</v>
      </c>
      <c r="I69" s="80">
        <f t="shared" si="23"/>
        <v>32.24</v>
      </c>
      <c r="J69" s="80">
        <f t="shared" si="23"/>
        <v>61.02</v>
      </c>
      <c r="K69" s="80">
        <f t="shared" si="23"/>
        <v>38.26</v>
      </c>
      <c r="L69" s="80">
        <f t="shared" si="23"/>
        <v>27.29</v>
      </c>
      <c r="M69" s="80">
        <f t="shared" si="23"/>
        <v>17.330000000000002</v>
      </c>
      <c r="N69" s="80">
        <f t="shared" si="23"/>
        <v>28.39</v>
      </c>
      <c r="O69" s="80">
        <f t="shared" si="23"/>
        <v>21.290000000000003</v>
      </c>
      <c r="P69" s="80">
        <f t="shared" si="23"/>
        <v>8.629999999999999</v>
      </c>
      <c r="Q69" s="80">
        <f t="shared" si="23"/>
        <v>17.37</v>
      </c>
      <c r="R69" s="80">
        <f t="shared" si="23"/>
        <v>13.649999999999999</v>
      </c>
      <c r="S69" s="80">
        <f t="shared" si="23"/>
        <v>39.76</v>
      </c>
      <c r="T69" s="80">
        <f t="shared" si="23"/>
        <v>35.040000000000006</v>
      </c>
      <c r="U69" s="80">
        <f t="shared" si="23"/>
        <v>41.169999999999995</v>
      </c>
      <c r="V69" s="80">
        <f t="shared" si="23"/>
        <v>34.460000000000008</v>
      </c>
      <c r="W69" s="80">
        <f t="shared" si="23"/>
        <v>18.309999999999999</v>
      </c>
      <c r="X69" s="80">
        <f t="shared" si="23"/>
        <v>28.710000000000004</v>
      </c>
      <c r="Y69" s="80">
        <f t="shared" si="23"/>
        <v>36.730000000000004</v>
      </c>
      <c r="Z69" s="80">
        <f t="shared" ref="Z69:AG69" si="24">Z70+Z71+Z72+Z73+Z74+Z75+Z76+Z77+Z78+Z79+Z80+Z82</f>
        <v>12.91</v>
      </c>
      <c r="AA69" s="80">
        <f t="shared" si="24"/>
        <v>25.82</v>
      </c>
      <c r="AB69" s="80">
        <f t="shared" si="24"/>
        <v>12.64</v>
      </c>
      <c r="AC69" s="80">
        <f t="shared" si="24"/>
        <v>31.150000000000002</v>
      </c>
      <c r="AD69" s="80">
        <f t="shared" si="24"/>
        <v>19.059999999999999</v>
      </c>
      <c r="AE69" s="80">
        <f t="shared" si="24"/>
        <v>32.07</v>
      </c>
      <c r="AF69" s="80">
        <f t="shared" si="24"/>
        <v>16.809999999999999</v>
      </c>
      <c r="AG69" s="80">
        <f t="shared" si="24"/>
        <v>19.41</v>
      </c>
      <c r="AH69" s="96"/>
      <c r="AI69" s="96"/>
      <c r="AJ69" s="96"/>
      <c r="AK69" s="96"/>
      <c r="AL69" s="96"/>
      <c r="AM69" s="96"/>
      <c r="AN69" s="96"/>
    </row>
    <row r="70" spans="1:40" ht="25.5" customHeight="1" x14ac:dyDescent="0.25">
      <c r="A70" s="100"/>
      <c r="B70" s="82" t="s">
        <v>66</v>
      </c>
      <c r="C70" s="80">
        <f t="shared" ref="C70:C76" si="25">D70+E70+F70+G70+H70+I70+J70+K70+L70+M70+N70+O70+P70+Q70+R70+S70+T70+U70+V70+W70+X70+Y70+Z70+AA70+AB70+AC70+AD70+AE70+AF70+AG70</f>
        <v>12.999999999999996</v>
      </c>
      <c r="D70" s="51">
        <v>0.54</v>
      </c>
      <c r="E70" s="51">
        <v>0.85</v>
      </c>
      <c r="F70" s="51">
        <v>0.46</v>
      </c>
      <c r="G70" s="51">
        <v>0.81</v>
      </c>
      <c r="H70" s="51">
        <v>0.84</v>
      </c>
      <c r="I70" s="51">
        <v>0.46</v>
      </c>
      <c r="J70" s="51">
        <v>0.87</v>
      </c>
      <c r="K70" s="51">
        <v>0.54</v>
      </c>
      <c r="L70" s="51">
        <v>0.39</v>
      </c>
      <c r="M70" s="51">
        <v>0.25</v>
      </c>
      <c r="N70" s="51">
        <v>0.4</v>
      </c>
      <c r="O70" s="51">
        <v>0.3</v>
      </c>
      <c r="P70" s="51">
        <v>0.12</v>
      </c>
      <c r="Q70" s="51">
        <v>0.25</v>
      </c>
      <c r="R70" s="51">
        <v>0.19</v>
      </c>
      <c r="S70" s="51">
        <v>0.56000000000000005</v>
      </c>
      <c r="T70" s="51">
        <v>0.5</v>
      </c>
      <c r="U70" s="51">
        <v>0.57999999999999996</v>
      </c>
      <c r="V70" s="51">
        <v>0.49</v>
      </c>
      <c r="W70" s="51">
        <v>0.26</v>
      </c>
      <c r="X70" s="51">
        <v>0.41</v>
      </c>
      <c r="Y70" s="51">
        <v>0.18</v>
      </c>
      <c r="Z70" s="51">
        <v>0.45</v>
      </c>
      <c r="AA70" s="51">
        <v>0.27</v>
      </c>
      <c r="AB70" s="51">
        <v>0.45</v>
      </c>
      <c r="AC70" s="51">
        <v>0.24</v>
      </c>
      <c r="AD70" s="51">
        <v>0.28000000000000003</v>
      </c>
      <c r="AE70" s="51">
        <v>0.5</v>
      </c>
      <c r="AF70" s="51">
        <v>0.28000000000000003</v>
      </c>
      <c r="AG70" s="51">
        <v>0.28000000000000003</v>
      </c>
      <c r="AH70" s="110"/>
      <c r="AI70" s="110"/>
      <c r="AJ70" s="110"/>
      <c r="AK70" s="110"/>
      <c r="AL70" s="110"/>
      <c r="AM70" s="110"/>
      <c r="AN70" s="110"/>
    </row>
    <row r="71" spans="1:40" s="56" customFormat="1" ht="21" customHeight="1" x14ac:dyDescent="0.25">
      <c r="A71" s="100"/>
      <c r="B71" s="82" t="s">
        <v>67</v>
      </c>
      <c r="C71" s="80">
        <f t="shared" si="25"/>
        <v>252.15999999999997</v>
      </c>
      <c r="D71" s="51">
        <v>10.38</v>
      </c>
      <c r="E71" s="51">
        <v>16.420000000000002</v>
      </c>
      <c r="F71" s="51">
        <v>8.8800000000000008</v>
      </c>
      <c r="G71" s="51">
        <v>15.8</v>
      </c>
      <c r="H71" s="51">
        <v>16.28</v>
      </c>
      <c r="I71" s="51">
        <v>8.8800000000000008</v>
      </c>
      <c r="J71" s="51">
        <v>16.8</v>
      </c>
      <c r="K71" s="51">
        <v>10.54</v>
      </c>
      <c r="L71" s="51">
        <v>7.51</v>
      </c>
      <c r="M71" s="51">
        <v>4.7699999999999996</v>
      </c>
      <c r="N71" s="51">
        <v>7.82</v>
      </c>
      <c r="O71" s="51">
        <v>5.86</v>
      </c>
      <c r="P71" s="51">
        <v>2.38</v>
      </c>
      <c r="Q71" s="51">
        <v>4.78</v>
      </c>
      <c r="R71" s="51">
        <v>3.76</v>
      </c>
      <c r="S71" s="51">
        <v>10.95</v>
      </c>
      <c r="T71" s="51">
        <v>9.65</v>
      </c>
      <c r="U71" s="51">
        <v>11.34</v>
      </c>
      <c r="V71" s="51">
        <v>9.49</v>
      </c>
      <c r="W71" s="51">
        <v>5.04</v>
      </c>
      <c r="X71" s="51">
        <v>7.91</v>
      </c>
      <c r="Y71" s="51">
        <v>10.210000000000001</v>
      </c>
      <c r="Z71" s="51">
        <v>3.48</v>
      </c>
      <c r="AA71" s="51">
        <v>7.14</v>
      </c>
      <c r="AB71" s="51">
        <v>3.41</v>
      </c>
      <c r="AC71" s="51">
        <v>8.64</v>
      </c>
      <c r="AD71" s="51">
        <v>5.25</v>
      </c>
      <c r="AE71" s="51">
        <v>8.82</v>
      </c>
      <c r="AF71" s="51">
        <v>4.6100000000000003</v>
      </c>
      <c r="AG71" s="51">
        <v>5.36</v>
      </c>
      <c r="AH71" s="74"/>
      <c r="AI71" s="74"/>
      <c r="AJ71" s="74"/>
      <c r="AK71" s="74"/>
      <c r="AL71" s="74"/>
      <c r="AM71" s="74"/>
      <c r="AN71" s="74"/>
    </row>
    <row r="72" spans="1:40" ht="39" customHeight="1" x14ac:dyDescent="0.25">
      <c r="A72" s="100"/>
      <c r="B72" s="82" t="s">
        <v>68</v>
      </c>
      <c r="C72" s="80">
        <f t="shared" si="25"/>
        <v>125.16000000000003</v>
      </c>
      <c r="D72" s="51">
        <v>5.15</v>
      </c>
      <c r="E72" s="51">
        <v>8.15</v>
      </c>
      <c r="F72" s="51">
        <v>4.41</v>
      </c>
      <c r="G72" s="51">
        <v>7.84</v>
      </c>
      <c r="H72" s="51">
        <v>8.08</v>
      </c>
      <c r="I72" s="51">
        <v>4.41</v>
      </c>
      <c r="J72" s="51">
        <v>8.34</v>
      </c>
      <c r="K72" s="51">
        <v>5.23</v>
      </c>
      <c r="L72" s="51">
        <v>3.73</v>
      </c>
      <c r="M72" s="51">
        <v>2.37</v>
      </c>
      <c r="N72" s="51">
        <v>3.88</v>
      </c>
      <c r="O72" s="51">
        <v>2.91</v>
      </c>
      <c r="P72" s="51">
        <v>1.18</v>
      </c>
      <c r="Q72" s="51">
        <v>2.37</v>
      </c>
      <c r="R72" s="51">
        <v>1.87</v>
      </c>
      <c r="S72" s="51">
        <v>5.44</v>
      </c>
      <c r="T72" s="51">
        <v>4.79</v>
      </c>
      <c r="U72" s="51">
        <v>5.63</v>
      </c>
      <c r="V72" s="51">
        <v>4.71</v>
      </c>
      <c r="W72" s="51">
        <v>2.5</v>
      </c>
      <c r="X72" s="51">
        <v>3.92</v>
      </c>
      <c r="Y72" s="51">
        <v>5.07</v>
      </c>
      <c r="Z72" s="51">
        <v>1.73</v>
      </c>
      <c r="AA72" s="51">
        <v>3.54</v>
      </c>
      <c r="AB72" s="51">
        <v>1.69</v>
      </c>
      <c r="AC72" s="51">
        <v>4.29</v>
      </c>
      <c r="AD72" s="51">
        <v>2.6</v>
      </c>
      <c r="AE72" s="51">
        <v>4.38</v>
      </c>
      <c r="AF72" s="51">
        <v>2.29</v>
      </c>
      <c r="AG72" s="51">
        <v>2.66</v>
      </c>
    </row>
    <row r="73" spans="1:40" ht="31.5" customHeight="1" x14ac:dyDescent="0.25">
      <c r="A73" s="112"/>
      <c r="B73" s="82" t="s">
        <v>69</v>
      </c>
      <c r="C73" s="80">
        <f t="shared" si="25"/>
        <v>103.95</v>
      </c>
      <c r="D73" s="51">
        <v>4.28</v>
      </c>
      <c r="E73" s="51">
        <v>6.77</v>
      </c>
      <c r="F73" s="51">
        <v>3.66</v>
      </c>
      <c r="G73" s="51">
        <v>6.51</v>
      </c>
      <c r="H73" s="51">
        <v>6.71</v>
      </c>
      <c r="I73" s="51">
        <v>3.66</v>
      </c>
      <c r="J73" s="51">
        <v>6.93</v>
      </c>
      <c r="K73" s="51">
        <v>4.34</v>
      </c>
      <c r="L73" s="51">
        <v>3.1</v>
      </c>
      <c r="M73" s="51">
        <v>1.97</v>
      </c>
      <c r="N73" s="51">
        <v>3.22</v>
      </c>
      <c r="O73" s="51">
        <v>2.42</v>
      </c>
      <c r="P73" s="51">
        <v>0.98</v>
      </c>
      <c r="Q73" s="51">
        <v>1.97</v>
      </c>
      <c r="R73" s="51">
        <v>1.55</v>
      </c>
      <c r="S73" s="51">
        <v>4.5199999999999996</v>
      </c>
      <c r="T73" s="51">
        <v>3.98</v>
      </c>
      <c r="U73" s="51">
        <v>4.68</v>
      </c>
      <c r="V73" s="51">
        <v>3.91</v>
      </c>
      <c r="W73" s="51">
        <v>2.08</v>
      </c>
      <c r="X73" s="51">
        <v>3.26</v>
      </c>
      <c r="Y73" s="51">
        <v>4.21</v>
      </c>
      <c r="Z73" s="51">
        <v>1.44</v>
      </c>
      <c r="AA73" s="51">
        <v>2.94</v>
      </c>
      <c r="AB73" s="51">
        <v>1.4</v>
      </c>
      <c r="AC73" s="51">
        <v>3.56</v>
      </c>
      <c r="AD73" s="51">
        <v>2.16</v>
      </c>
      <c r="AE73" s="51">
        <v>3.64</v>
      </c>
      <c r="AF73" s="51">
        <v>1.9</v>
      </c>
      <c r="AG73" s="51">
        <v>2.2000000000000002</v>
      </c>
    </row>
    <row r="74" spans="1:40" ht="25.5" customHeight="1" x14ac:dyDescent="0.25">
      <c r="A74" s="112"/>
      <c r="B74" s="82" t="s">
        <v>70</v>
      </c>
      <c r="C74" s="80">
        <f t="shared" si="25"/>
        <v>12.999999999999996</v>
      </c>
      <c r="D74" s="87">
        <v>0.54</v>
      </c>
      <c r="E74" s="87">
        <v>0.85</v>
      </c>
      <c r="F74" s="87">
        <v>0.46</v>
      </c>
      <c r="G74" s="87">
        <v>0.81</v>
      </c>
      <c r="H74" s="87">
        <v>0.84</v>
      </c>
      <c r="I74" s="87">
        <v>0.46</v>
      </c>
      <c r="J74" s="87">
        <v>0.87</v>
      </c>
      <c r="K74" s="87">
        <v>0.54</v>
      </c>
      <c r="L74" s="87">
        <v>0.39</v>
      </c>
      <c r="M74" s="87">
        <v>0.25</v>
      </c>
      <c r="N74" s="87">
        <v>0.4</v>
      </c>
      <c r="O74" s="87">
        <v>0.3</v>
      </c>
      <c r="P74" s="87">
        <v>0.12</v>
      </c>
      <c r="Q74" s="87">
        <v>0.25</v>
      </c>
      <c r="R74" s="87">
        <v>0.19</v>
      </c>
      <c r="S74" s="87">
        <v>0.56000000000000005</v>
      </c>
      <c r="T74" s="87">
        <v>0.5</v>
      </c>
      <c r="U74" s="87">
        <v>0.57999999999999996</v>
      </c>
      <c r="V74" s="87">
        <v>0.49</v>
      </c>
      <c r="W74" s="87">
        <v>0.26</v>
      </c>
      <c r="X74" s="87">
        <v>0.41</v>
      </c>
      <c r="Y74" s="87">
        <v>0.53</v>
      </c>
      <c r="Z74" s="87">
        <v>0.18</v>
      </c>
      <c r="AA74" s="87">
        <v>0.37</v>
      </c>
      <c r="AB74" s="87">
        <v>0.18</v>
      </c>
      <c r="AC74" s="87">
        <v>0.45</v>
      </c>
      <c r="AD74" s="87">
        <v>0.27</v>
      </c>
      <c r="AE74" s="87">
        <v>0.45</v>
      </c>
      <c r="AF74" s="87">
        <v>0.24</v>
      </c>
      <c r="AG74" s="87">
        <v>0.26</v>
      </c>
    </row>
    <row r="75" spans="1:40" ht="25.5" customHeight="1" x14ac:dyDescent="0.25">
      <c r="A75" s="112"/>
      <c r="B75" s="82" t="s">
        <v>71</v>
      </c>
      <c r="C75" s="80">
        <f t="shared" si="25"/>
        <v>35.089999999999989</v>
      </c>
      <c r="D75" s="87">
        <v>1.44</v>
      </c>
      <c r="E75" s="87">
        <v>2.2799999999999998</v>
      </c>
      <c r="F75" s="87">
        <v>1.24</v>
      </c>
      <c r="G75" s="87">
        <v>2.2000000000000002</v>
      </c>
      <c r="H75" s="87">
        <v>2.27</v>
      </c>
      <c r="I75" s="87">
        <v>1.24</v>
      </c>
      <c r="J75" s="87">
        <v>2.34</v>
      </c>
      <c r="K75" s="87">
        <v>1.47</v>
      </c>
      <c r="L75" s="87">
        <v>1.04</v>
      </c>
      <c r="M75" s="87">
        <v>0.66</v>
      </c>
      <c r="N75" s="87">
        <v>1.0900000000000001</v>
      </c>
      <c r="O75" s="87">
        <v>0.82</v>
      </c>
      <c r="P75" s="87">
        <v>0.33</v>
      </c>
      <c r="Q75" s="87">
        <v>0.67</v>
      </c>
      <c r="R75" s="87">
        <v>0.52</v>
      </c>
      <c r="S75" s="87">
        <v>1.52</v>
      </c>
      <c r="T75" s="87">
        <v>1.34</v>
      </c>
      <c r="U75" s="87">
        <v>1.58</v>
      </c>
      <c r="V75" s="87">
        <v>1.32</v>
      </c>
      <c r="W75" s="87">
        <v>0.7</v>
      </c>
      <c r="X75" s="87">
        <v>1.1000000000000001</v>
      </c>
      <c r="Y75" s="87">
        <v>1.42</v>
      </c>
      <c r="Z75" s="87">
        <v>0.48</v>
      </c>
      <c r="AA75" s="87">
        <v>0.99</v>
      </c>
      <c r="AB75" s="87">
        <v>0.47</v>
      </c>
      <c r="AC75" s="87">
        <v>1.21</v>
      </c>
      <c r="AD75" s="87">
        <v>0.73</v>
      </c>
      <c r="AE75" s="87">
        <v>1.23</v>
      </c>
      <c r="AF75" s="87">
        <v>0.64</v>
      </c>
      <c r="AG75" s="87">
        <v>0.75</v>
      </c>
    </row>
    <row r="76" spans="1:40" ht="22.5" customHeight="1" x14ac:dyDescent="0.25">
      <c r="A76" s="112"/>
      <c r="B76" s="82" t="s">
        <v>72</v>
      </c>
      <c r="C76" s="80">
        <f t="shared" si="25"/>
        <v>17.979999999999997</v>
      </c>
      <c r="D76" s="87">
        <v>0.74</v>
      </c>
      <c r="E76" s="87">
        <v>1.17</v>
      </c>
      <c r="F76" s="87">
        <v>0.63</v>
      </c>
      <c r="G76" s="87">
        <v>1.1299999999999999</v>
      </c>
      <c r="H76" s="87">
        <v>1.1599999999999999</v>
      </c>
      <c r="I76" s="87">
        <v>0.63</v>
      </c>
      <c r="J76" s="87">
        <v>1.2</v>
      </c>
      <c r="K76" s="87">
        <v>0.75</v>
      </c>
      <c r="L76" s="87">
        <v>0.54</v>
      </c>
      <c r="M76" s="87">
        <v>0.34</v>
      </c>
      <c r="N76" s="87">
        <v>0.56000000000000005</v>
      </c>
      <c r="O76" s="87">
        <v>0.42</v>
      </c>
      <c r="P76" s="87">
        <v>0.17</v>
      </c>
      <c r="Q76" s="87">
        <v>0.34</v>
      </c>
      <c r="R76" s="87">
        <v>0.27</v>
      </c>
      <c r="S76" s="87">
        <v>0.78</v>
      </c>
      <c r="T76" s="87">
        <v>0.69</v>
      </c>
      <c r="U76" s="87">
        <v>0.81</v>
      </c>
      <c r="V76" s="87">
        <v>0.68</v>
      </c>
      <c r="W76" s="87">
        <v>0.36</v>
      </c>
      <c r="X76" s="87">
        <v>0.56000000000000005</v>
      </c>
      <c r="Y76" s="87">
        <v>0.73</v>
      </c>
      <c r="Z76" s="87">
        <v>0.25</v>
      </c>
      <c r="AA76" s="87">
        <v>0.51</v>
      </c>
      <c r="AB76" s="87">
        <v>0.24</v>
      </c>
      <c r="AC76" s="87">
        <v>0.61</v>
      </c>
      <c r="AD76" s="87">
        <v>0.37</v>
      </c>
      <c r="AE76" s="87">
        <v>0.63</v>
      </c>
      <c r="AF76" s="87">
        <v>0.33</v>
      </c>
      <c r="AG76" s="87">
        <v>0.38</v>
      </c>
    </row>
    <row r="77" spans="1:40" ht="29.25" customHeight="1" x14ac:dyDescent="0.25">
      <c r="A77" s="100"/>
      <c r="B77" s="82" t="s">
        <v>98</v>
      </c>
      <c r="C77" s="80">
        <f>D77+E77+F77+G77+H77+I77+J77+K77+L77+M77+N77+O77+P77+Q77+R77+S77+T77+U77+V77+W77+X77+Y77+Z77+AA77+AB77+AC77+AD77+AE77+AF77+AG77</f>
        <v>173.45000000000002</v>
      </c>
      <c r="D77" s="51">
        <v>7.14</v>
      </c>
      <c r="E77" s="51">
        <v>11.29</v>
      </c>
      <c r="F77" s="51">
        <v>6.11</v>
      </c>
      <c r="G77" s="51">
        <v>10.87</v>
      </c>
      <c r="H77" s="51">
        <v>11.2</v>
      </c>
      <c r="I77" s="51">
        <v>6.11</v>
      </c>
      <c r="J77" s="51">
        <v>11.56</v>
      </c>
      <c r="K77" s="51">
        <v>7.25</v>
      </c>
      <c r="L77" s="51">
        <v>5.17</v>
      </c>
      <c r="M77" s="51">
        <v>3.28</v>
      </c>
      <c r="N77" s="51">
        <v>5.38</v>
      </c>
      <c r="O77" s="51">
        <v>4.03</v>
      </c>
      <c r="P77" s="51">
        <v>1.64</v>
      </c>
      <c r="Q77" s="51">
        <v>3.29</v>
      </c>
      <c r="R77" s="51">
        <v>2.59</v>
      </c>
      <c r="S77" s="51">
        <v>7.53</v>
      </c>
      <c r="T77" s="51">
        <v>6.64</v>
      </c>
      <c r="U77" s="51">
        <v>7.8</v>
      </c>
      <c r="V77" s="51">
        <v>6.53</v>
      </c>
      <c r="W77" s="51">
        <v>3.47</v>
      </c>
      <c r="X77" s="51">
        <v>5.44</v>
      </c>
      <c r="Y77" s="51">
        <v>7.02</v>
      </c>
      <c r="Z77" s="51">
        <v>2.4</v>
      </c>
      <c r="AA77" s="51">
        <v>4.91</v>
      </c>
      <c r="AB77" s="51">
        <v>2.34</v>
      </c>
      <c r="AC77" s="51">
        <v>5.94</v>
      </c>
      <c r="AD77" s="51">
        <v>3.61</v>
      </c>
      <c r="AE77" s="51">
        <v>6.07</v>
      </c>
      <c r="AF77" s="51">
        <v>3.17</v>
      </c>
      <c r="AG77" s="51">
        <v>3.67</v>
      </c>
    </row>
    <row r="78" spans="1:40" ht="24" customHeight="1" x14ac:dyDescent="0.25">
      <c r="A78" s="100"/>
      <c r="B78" s="82" t="s">
        <v>73</v>
      </c>
      <c r="C78" s="80">
        <f t="shared" ref="C78:C84" si="26">D78+E78+F78+G78+H78+I78+J78+K78+L78+M78+N78+O78+P78+Q78+R78+S78+T78+U78+V78+W78+X78+Y78+Z78+AA78+AB78+AC78+AD78+AE78+AF78+AG78</f>
        <v>6.78</v>
      </c>
      <c r="D78" s="51">
        <v>0.28000000000000003</v>
      </c>
      <c r="E78" s="51">
        <v>0.44</v>
      </c>
      <c r="F78" s="51">
        <v>0.24</v>
      </c>
      <c r="G78" s="51">
        <v>0.42</v>
      </c>
      <c r="H78" s="51">
        <v>0.44</v>
      </c>
      <c r="I78" s="51">
        <v>0.24</v>
      </c>
      <c r="J78" s="51">
        <v>0.45</v>
      </c>
      <c r="K78" s="51">
        <v>0.28000000000000003</v>
      </c>
      <c r="L78" s="51">
        <v>0.2</v>
      </c>
      <c r="M78" s="51">
        <v>0.13</v>
      </c>
      <c r="N78" s="51">
        <v>0.21</v>
      </c>
      <c r="O78" s="51">
        <v>0.16</v>
      </c>
      <c r="P78" s="51">
        <v>0.06</v>
      </c>
      <c r="Q78" s="51">
        <v>0.13</v>
      </c>
      <c r="R78" s="51">
        <v>0.1</v>
      </c>
      <c r="S78" s="51">
        <v>0.28999999999999998</v>
      </c>
      <c r="T78" s="51">
        <v>0.26</v>
      </c>
      <c r="U78" s="51">
        <v>0.3</v>
      </c>
      <c r="V78" s="51">
        <v>0.26</v>
      </c>
      <c r="W78" s="51">
        <v>0.14000000000000001</v>
      </c>
      <c r="X78" s="51">
        <v>0.21</v>
      </c>
      <c r="Y78" s="51">
        <v>0.27</v>
      </c>
      <c r="Z78" s="51">
        <v>0.09</v>
      </c>
      <c r="AA78" s="51">
        <v>0.19</v>
      </c>
      <c r="AB78" s="51">
        <v>0.09</v>
      </c>
      <c r="AC78" s="51">
        <v>0.23</v>
      </c>
      <c r="AD78" s="51">
        <v>0.14000000000000001</v>
      </c>
      <c r="AE78" s="51">
        <v>0.24</v>
      </c>
      <c r="AF78" s="51">
        <v>0.15</v>
      </c>
      <c r="AG78" s="51">
        <v>0.14000000000000001</v>
      </c>
    </row>
    <row r="79" spans="1:40" ht="21.75" customHeight="1" x14ac:dyDescent="0.25">
      <c r="A79" s="100"/>
      <c r="B79" s="82" t="s">
        <v>100</v>
      </c>
      <c r="C79" s="80">
        <f t="shared" si="26"/>
        <v>0.90000000000000047</v>
      </c>
      <c r="D79" s="51">
        <v>0.04</v>
      </c>
      <c r="E79" s="51">
        <v>0.06</v>
      </c>
      <c r="F79" s="51">
        <v>0.03</v>
      </c>
      <c r="G79" s="51">
        <v>0.06</v>
      </c>
      <c r="H79" s="51">
        <v>0.06</v>
      </c>
      <c r="I79" s="51">
        <v>0.03</v>
      </c>
      <c r="J79" s="51">
        <v>0.06</v>
      </c>
      <c r="K79" s="51">
        <v>0.04</v>
      </c>
      <c r="L79" s="51">
        <v>0.03</v>
      </c>
      <c r="M79" s="51">
        <v>0.02</v>
      </c>
      <c r="N79" s="51">
        <v>0.03</v>
      </c>
      <c r="O79" s="51">
        <v>0.02</v>
      </c>
      <c r="P79" s="51">
        <v>0.01</v>
      </c>
      <c r="Q79" s="51">
        <v>0.02</v>
      </c>
      <c r="R79" s="51">
        <v>0.01</v>
      </c>
      <c r="S79" s="51">
        <v>0.04</v>
      </c>
      <c r="T79" s="51">
        <v>0.03</v>
      </c>
      <c r="U79" s="51">
        <v>0.04</v>
      </c>
      <c r="V79" s="51">
        <v>0.03</v>
      </c>
      <c r="W79" s="51">
        <v>0.02</v>
      </c>
      <c r="X79" s="51">
        <v>0.03</v>
      </c>
      <c r="Y79" s="51">
        <v>0.04</v>
      </c>
      <c r="Z79" s="51">
        <v>0.01</v>
      </c>
      <c r="AA79" s="51">
        <v>0.03</v>
      </c>
      <c r="AB79" s="51">
        <v>0.01</v>
      </c>
      <c r="AC79" s="51">
        <v>0.02</v>
      </c>
      <c r="AD79" s="51">
        <v>0.03</v>
      </c>
      <c r="AE79" s="51">
        <v>0.02</v>
      </c>
      <c r="AF79" s="51">
        <v>0.02</v>
      </c>
      <c r="AG79" s="51">
        <v>0.01</v>
      </c>
    </row>
    <row r="80" spans="1:40" ht="21.75" customHeight="1" x14ac:dyDescent="0.25">
      <c r="A80" s="113"/>
      <c r="B80" s="82" t="s">
        <v>74</v>
      </c>
      <c r="C80" s="80">
        <f t="shared" si="26"/>
        <v>158.08999999999997</v>
      </c>
      <c r="D80" s="51">
        <v>6.51</v>
      </c>
      <c r="E80" s="51">
        <v>10.29</v>
      </c>
      <c r="F80" s="51">
        <v>5.56</v>
      </c>
      <c r="G80" s="51">
        <v>9.91</v>
      </c>
      <c r="H80" s="51">
        <v>10.210000000000001</v>
      </c>
      <c r="I80" s="51">
        <v>5.56</v>
      </c>
      <c r="J80" s="51">
        <v>10.53</v>
      </c>
      <c r="K80" s="51">
        <v>6.61</v>
      </c>
      <c r="L80" s="51">
        <v>4.71</v>
      </c>
      <c r="M80" s="51">
        <v>2.99</v>
      </c>
      <c r="N80" s="51">
        <v>4.9000000000000004</v>
      </c>
      <c r="O80" s="51">
        <v>3.68</v>
      </c>
      <c r="P80" s="51">
        <v>1.49</v>
      </c>
      <c r="Q80" s="51">
        <v>3</v>
      </c>
      <c r="R80" s="51">
        <v>2.36</v>
      </c>
      <c r="S80" s="51">
        <v>6.87</v>
      </c>
      <c r="T80" s="51">
        <v>6.05</v>
      </c>
      <c r="U80" s="51">
        <v>7.11</v>
      </c>
      <c r="V80" s="51">
        <v>5.95</v>
      </c>
      <c r="W80" s="51">
        <v>3.16</v>
      </c>
      <c r="X80" s="51">
        <v>4.96</v>
      </c>
      <c r="Y80" s="51">
        <v>6.4</v>
      </c>
      <c r="Z80" s="51">
        <v>2.1800000000000002</v>
      </c>
      <c r="AA80" s="51">
        <v>4.4800000000000004</v>
      </c>
      <c r="AB80" s="51">
        <v>2.14</v>
      </c>
      <c r="AC80" s="51">
        <v>5.41</v>
      </c>
      <c r="AD80" s="51">
        <v>3.29</v>
      </c>
      <c r="AE80" s="51">
        <v>5.53</v>
      </c>
      <c r="AF80" s="51">
        <v>2.89</v>
      </c>
      <c r="AG80" s="51">
        <v>3.36</v>
      </c>
    </row>
    <row r="81" spans="1:33" ht="24.75" customHeight="1" x14ac:dyDescent="0.25">
      <c r="A81" s="114"/>
      <c r="B81" s="82" t="s">
        <v>75</v>
      </c>
      <c r="C81" s="80">
        <f t="shared" si="26"/>
        <v>2452.27</v>
      </c>
      <c r="D81" s="51">
        <v>100.95</v>
      </c>
      <c r="E81" s="51">
        <v>159.61000000000001</v>
      </c>
      <c r="F81" s="51">
        <v>86.32</v>
      </c>
      <c r="G81" s="51">
        <v>153.68</v>
      </c>
      <c r="H81" s="51">
        <v>158.35</v>
      </c>
      <c r="I81" s="51">
        <v>86.32</v>
      </c>
      <c r="J81" s="51">
        <v>163.38</v>
      </c>
      <c r="K81" s="51">
        <v>102.48</v>
      </c>
      <c r="L81" s="51">
        <v>73.02</v>
      </c>
      <c r="M81" s="51">
        <v>46.44</v>
      </c>
      <c r="N81" s="51">
        <v>76.08</v>
      </c>
      <c r="O81" s="51">
        <v>57.04</v>
      </c>
      <c r="P81" s="51">
        <v>23.17</v>
      </c>
      <c r="Q81" s="51">
        <v>46.53</v>
      </c>
      <c r="R81" s="51">
        <v>36.56</v>
      </c>
      <c r="S81" s="51">
        <v>106.53</v>
      </c>
      <c r="T81" s="51">
        <v>93.86</v>
      </c>
      <c r="U81" s="51">
        <v>110.3</v>
      </c>
      <c r="V81" s="51">
        <v>92.34</v>
      </c>
      <c r="W81" s="51">
        <v>49.04</v>
      </c>
      <c r="X81" s="51">
        <v>76.89</v>
      </c>
      <c r="Y81" s="51">
        <v>99.25</v>
      </c>
      <c r="Z81" s="51">
        <v>33.86</v>
      </c>
      <c r="AA81" s="51">
        <v>69.430000000000007</v>
      </c>
      <c r="AB81" s="51">
        <v>33.14</v>
      </c>
      <c r="AC81" s="51">
        <v>83.98</v>
      </c>
      <c r="AD81" s="51">
        <v>51.02</v>
      </c>
      <c r="AE81" s="51">
        <v>85.78</v>
      </c>
      <c r="AF81" s="51">
        <v>44.82</v>
      </c>
      <c r="AG81" s="51">
        <v>52.1</v>
      </c>
    </row>
    <row r="82" spans="1:33" ht="39" customHeight="1" x14ac:dyDescent="0.25">
      <c r="A82" s="114"/>
      <c r="B82" s="108" t="s">
        <v>76</v>
      </c>
      <c r="C82" s="80">
        <f t="shared" si="26"/>
        <v>16.000000000000004</v>
      </c>
      <c r="D82" s="51">
        <v>0.66</v>
      </c>
      <c r="E82" s="51">
        <v>1.04</v>
      </c>
      <c r="F82" s="51">
        <v>0.56000000000000005</v>
      </c>
      <c r="G82" s="51">
        <v>1.01</v>
      </c>
      <c r="H82" s="51">
        <v>1.03</v>
      </c>
      <c r="I82" s="51">
        <v>0.56000000000000005</v>
      </c>
      <c r="J82" s="51">
        <v>1.07</v>
      </c>
      <c r="K82" s="51">
        <v>0.67</v>
      </c>
      <c r="L82" s="51">
        <v>0.48</v>
      </c>
      <c r="M82" s="51">
        <v>0.3</v>
      </c>
      <c r="N82" s="51">
        <v>0.5</v>
      </c>
      <c r="O82" s="51">
        <v>0.37</v>
      </c>
      <c r="P82" s="51">
        <v>0.15</v>
      </c>
      <c r="Q82" s="51">
        <v>0.3</v>
      </c>
      <c r="R82" s="51">
        <v>0.24</v>
      </c>
      <c r="S82" s="51">
        <v>0.7</v>
      </c>
      <c r="T82" s="51">
        <v>0.61</v>
      </c>
      <c r="U82" s="51">
        <v>0.72</v>
      </c>
      <c r="V82" s="51">
        <v>0.6</v>
      </c>
      <c r="W82" s="51">
        <v>0.32</v>
      </c>
      <c r="X82" s="51">
        <v>0.5</v>
      </c>
      <c r="Y82" s="51">
        <v>0.65</v>
      </c>
      <c r="Z82" s="51">
        <v>0.22</v>
      </c>
      <c r="AA82" s="51">
        <v>0.45</v>
      </c>
      <c r="AB82" s="51">
        <v>0.22</v>
      </c>
      <c r="AC82" s="51">
        <v>0.55000000000000004</v>
      </c>
      <c r="AD82" s="51">
        <v>0.33</v>
      </c>
      <c r="AE82" s="51">
        <v>0.56000000000000005</v>
      </c>
      <c r="AF82" s="51">
        <v>0.28999999999999998</v>
      </c>
      <c r="AG82" s="51">
        <v>0.34</v>
      </c>
    </row>
    <row r="83" spans="1:33" ht="25.5" customHeight="1" x14ac:dyDescent="0.25">
      <c r="A83" s="115">
        <v>18</v>
      </c>
      <c r="B83" s="102" t="s">
        <v>77</v>
      </c>
      <c r="C83" s="80">
        <f t="shared" si="26"/>
        <v>1256.1999999999998</v>
      </c>
      <c r="D83" s="51">
        <v>51.7</v>
      </c>
      <c r="E83" s="51">
        <v>81.8</v>
      </c>
      <c r="F83" s="51">
        <v>44.2</v>
      </c>
      <c r="G83" s="51">
        <v>78.7</v>
      </c>
      <c r="H83" s="51">
        <v>81.099999999999994</v>
      </c>
      <c r="I83" s="51">
        <v>44.2</v>
      </c>
      <c r="J83" s="51">
        <v>83.7</v>
      </c>
      <c r="K83" s="51">
        <v>52.5</v>
      </c>
      <c r="L83" s="51">
        <v>37.4</v>
      </c>
      <c r="M83" s="51">
        <v>23.8</v>
      </c>
      <c r="N83" s="51">
        <v>39</v>
      </c>
      <c r="O83" s="51">
        <v>29.2</v>
      </c>
      <c r="P83" s="51">
        <v>11.9</v>
      </c>
      <c r="Q83" s="51">
        <v>23.8</v>
      </c>
      <c r="R83" s="51">
        <v>18.7</v>
      </c>
      <c r="S83" s="51">
        <v>54.6</v>
      </c>
      <c r="T83" s="51">
        <v>48.1</v>
      </c>
      <c r="U83" s="51">
        <v>56.5</v>
      </c>
      <c r="V83" s="51">
        <v>47.3</v>
      </c>
      <c r="W83" s="51">
        <v>25.1</v>
      </c>
      <c r="X83" s="51">
        <v>39.4</v>
      </c>
      <c r="Y83" s="51">
        <v>50.8</v>
      </c>
      <c r="Z83" s="51">
        <v>17.3</v>
      </c>
      <c r="AA83" s="51">
        <v>35.6</v>
      </c>
      <c r="AB83" s="51">
        <v>17</v>
      </c>
      <c r="AC83" s="51">
        <v>43.1</v>
      </c>
      <c r="AD83" s="51">
        <v>26.1</v>
      </c>
      <c r="AE83" s="51">
        <v>43.9</v>
      </c>
      <c r="AF83" s="51">
        <v>23</v>
      </c>
      <c r="AG83" s="51">
        <v>26.7</v>
      </c>
    </row>
    <row r="84" spans="1:33" ht="36" customHeight="1" x14ac:dyDescent="0.25">
      <c r="A84" s="116">
        <v>19</v>
      </c>
      <c r="B84" s="79" t="s">
        <v>30</v>
      </c>
      <c r="C84" s="69">
        <f t="shared" si="26"/>
        <v>5316.41</v>
      </c>
      <c r="D84" s="117">
        <v>218.87</v>
      </c>
      <c r="E84" s="117">
        <v>346.03</v>
      </c>
      <c r="F84" s="117">
        <v>187.13</v>
      </c>
      <c r="G84" s="117">
        <v>333.18</v>
      </c>
      <c r="H84" s="117">
        <v>343.3</v>
      </c>
      <c r="I84" s="117">
        <v>187.13</v>
      </c>
      <c r="J84" s="117">
        <v>354.21</v>
      </c>
      <c r="K84" s="117">
        <v>222.18</v>
      </c>
      <c r="L84" s="117">
        <v>158.31</v>
      </c>
      <c r="M84" s="117">
        <v>100.67</v>
      </c>
      <c r="N84" s="117">
        <v>164.93</v>
      </c>
      <c r="O84" s="117">
        <v>123.65</v>
      </c>
      <c r="P84" s="117">
        <v>50.24</v>
      </c>
      <c r="Q84" s="117">
        <v>100.67</v>
      </c>
      <c r="R84" s="117">
        <v>79.25</v>
      </c>
      <c r="S84" s="117">
        <v>230.95</v>
      </c>
      <c r="T84" s="117">
        <v>203.49</v>
      </c>
      <c r="U84" s="117">
        <v>239.12</v>
      </c>
      <c r="V84" s="117">
        <v>200.18</v>
      </c>
      <c r="W84" s="117">
        <v>106.32</v>
      </c>
      <c r="X84" s="117">
        <v>166.69</v>
      </c>
      <c r="Y84" s="117">
        <v>215.17</v>
      </c>
      <c r="Z84" s="117">
        <v>73.41</v>
      </c>
      <c r="AA84" s="117">
        <v>150.52000000000001</v>
      </c>
      <c r="AB84" s="117">
        <v>71.849999999999994</v>
      </c>
      <c r="AC84" s="117">
        <v>182.07</v>
      </c>
      <c r="AD84" s="117">
        <v>110.6</v>
      </c>
      <c r="AE84" s="117">
        <v>185.96</v>
      </c>
      <c r="AF84" s="117">
        <v>97.39</v>
      </c>
      <c r="AG84" s="117">
        <v>112.94</v>
      </c>
    </row>
    <row r="85" spans="1:33" ht="36.75" customHeight="1" x14ac:dyDescent="0.25">
      <c r="A85" s="118"/>
      <c r="B85" s="119" t="s">
        <v>105</v>
      </c>
      <c r="C85" s="120">
        <f t="shared" ref="C85:AG85" si="27">C22-C34</f>
        <v>2973.3972571000195</v>
      </c>
      <c r="D85" s="120">
        <f t="shared" si="27"/>
        <v>-78.664015899999413</v>
      </c>
      <c r="E85" s="120">
        <f t="shared" si="27"/>
        <v>685.09264239999993</v>
      </c>
      <c r="F85" s="120">
        <f t="shared" si="27"/>
        <v>639.61771279999948</v>
      </c>
      <c r="G85" s="120">
        <f t="shared" si="27"/>
        <v>-1261.6823999999997</v>
      </c>
      <c r="H85" s="120">
        <f t="shared" si="27"/>
        <v>-1039.4777880000011</v>
      </c>
      <c r="I85" s="120">
        <f t="shared" si="27"/>
        <v>242.78859999999986</v>
      </c>
      <c r="J85" s="120">
        <f t="shared" si="27"/>
        <v>968.56482439999945</v>
      </c>
      <c r="K85" s="120">
        <f t="shared" si="27"/>
        <v>36.876909999999953</v>
      </c>
      <c r="L85" s="120">
        <f t="shared" si="27"/>
        <v>-237.74934619999976</v>
      </c>
      <c r="M85" s="120">
        <f t="shared" si="27"/>
        <v>-571.19080000000008</v>
      </c>
      <c r="N85" s="120">
        <f t="shared" si="27"/>
        <v>549.30026220000082</v>
      </c>
      <c r="O85" s="120">
        <f t="shared" si="27"/>
        <v>375.3720000000003</v>
      </c>
      <c r="P85" s="120">
        <f t="shared" si="27"/>
        <v>279.12072250000051</v>
      </c>
      <c r="Q85" s="120">
        <f t="shared" si="27"/>
        <v>471.81560000000036</v>
      </c>
      <c r="R85" s="120">
        <f t="shared" si="27"/>
        <v>379.69439999999986</v>
      </c>
      <c r="S85" s="120">
        <f t="shared" si="27"/>
        <v>-1556.219116199999</v>
      </c>
      <c r="T85" s="120">
        <f t="shared" si="27"/>
        <v>62.001999999999953</v>
      </c>
      <c r="U85" s="120">
        <f t="shared" si="27"/>
        <v>768.43011580000029</v>
      </c>
      <c r="V85" s="120">
        <f t="shared" si="27"/>
        <v>671.33742339999935</v>
      </c>
      <c r="W85" s="120">
        <f t="shared" si="27"/>
        <v>219.21283890000018</v>
      </c>
      <c r="X85" s="120">
        <f t="shared" si="27"/>
        <v>512.55602230000022</v>
      </c>
      <c r="Y85" s="120">
        <f t="shared" si="27"/>
        <v>197.53358630000002</v>
      </c>
      <c r="Z85" s="120">
        <f t="shared" si="27"/>
        <v>-611.32395900000006</v>
      </c>
      <c r="AA85" s="120">
        <f t="shared" si="27"/>
        <v>401.03179999999975</v>
      </c>
      <c r="AB85" s="120">
        <f t="shared" si="27"/>
        <v>-6.033700299999964</v>
      </c>
      <c r="AC85" s="120">
        <f t="shared" si="27"/>
        <v>582.66999999999962</v>
      </c>
      <c r="AD85" s="120">
        <f t="shared" si="27"/>
        <v>26.967816900000116</v>
      </c>
      <c r="AE85" s="120">
        <f t="shared" si="27"/>
        <v>573.92810309999959</v>
      </c>
      <c r="AF85" s="120">
        <f t="shared" si="27"/>
        <v>347.84100170000033</v>
      </c>
      <c r="AG85" s="120">
        <f t="shared" si="27"/>
        <v>-58.016000000000076</v>
      </c>
    </row>
    <row r="86" spans="1:33" ht="45" customHeight="1" x14ac:dyDescent="0.25">
      <c r="A86" s="60"/>
      <c r="B86" s="61" t="s">
        <v>92</v>
      </c>
      <c r="C86" s="80">
        <f>D86+E86+F86+G86+H86+I86+J86+K86+L86+M86+N86+O86+P86+Q86+R86+S86+T86+U86+V86+W86+X86+Y86+Z86+AA86+AB86+AC86+AD86+AE86+AF86+AG86</f>
        <v>12368.670000000002</v>
      </c>
      <c r="D86" s="80">
        <v>523.33000000000004</v>
      </c>
      <c r="E86" s="80">
        <v>864.3</v>
      </c>
      <c r="F86" s="80">
        <v>316.64</v>
      </c>
      <c r="G86" s="80">
        <v>640.21</v>
      </c>
      <c r="H86" s="80">
        <v>624.82000000000005</v>
      </c>
      <c r="I86" s="80">
        <v>369.87</v>
      </c>
      <c r="J86" s="80">
        <v>679.38</v>
      </c>
      <c r="K86" s="80">
        <v>355.61</v>
      </c>
      <c r="L86" s="80">
        <v>368.26</v>
      </c>
      <c r="M86" s="80">
        <v>159.34</v>
      </c>
      <c r="N86" s="80">
        <v>428.43</v>
      </c>
      <c r="O86" s="80">
        <v>380.73</v>
      </c>
      <c r="P86" s="80">
        <v>93.19</v>
      </c>
      <c r="Q86" s="80">
        <v>380.32</v>
      </c>
      <c r="R86" s="80">
        <v>132.26</v>
      </c>
      <c r="S86" s="80">
        <v>405.35</v>
      </c>
      <c r="T86" s="80">
        <v>537.51</v>
      </c>
      <c r="U86" s="80">
        <v>602.71</v>
      </c>
      <c r="V86" s="80">
        <v>521.57000000000005</v>
      </c>
      <c r="W86" s="80">
        <v>331.7</v>
      </c>
      <c r="X86" s="80">
        <v>362.6</v>
      </c>
      <c r="Y86" s="80">
        <v>386.52</v>
      </c>
      <c r="Z86" s="80">
        <v>352.58</v>
      </c>
      <c r="AA86" s="80">
        <v>432.04</v>
      </c>
      <c r="AB86" s="80">
        <v>186.77</v>
      </c>
      <c r="AC86" s="80">
        <v>486.75</v>
      </c>
      <c r="AD86" s="80">
        <v>388.11</v>
      </c>
      <c r="AE86" s="80">
        <v>444.3</v>
      </c>
      <c r="AF86" s="80">
        <v>347.74</v>
      </c>
      <c r="AG86" s="80">
        <v>265.73</v>
      </c>
    </row>
    <row r="87" spans="1:33" ht="12.75" customHeight="1" x14ac:dyDescent="0.25"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</row>
    <row r="88" spans="1:33" ht="12.75" customHeight="1" x14ac:dyDescent="0.25"/>
    <row r="89" spans="1:33" ht="12.75" customHeight="1" x14ac:dyDescent="0.25"/>
    <row r="90" spans="1:33" ht="12.75" customHeight="1" x14ac:dyDescent="0.25"/>
    <row r="91" spans="1:33" ht="12.75" customHeight="1" x14ac:dyDescent="0.25"/>
    <row r="92" spans="1:33" ht="12.75" customHeight="1" x14ac:dyDescent="0.25"/>
    <row r="93" spans="1:33" ht="12.75" customHeight="1" x14ac:dyDescent="0.25"/>
    <row r="94" spans="1:33" ht="12.75" customHeight="1" x14ac:dyDescent="0.25"/>
    <row r="95" spans="1:33" ht="12.75" customHeight="1" x14ac:dyDescent="0.25"/>
    <row r="96" spans="1:33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</sheetData>
  <mergeCells count="2">
    <mergeCell ref="AI2:AK2"/>
    <mergeCell ref="AL2:AN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55" zoomScale="60" zoomScaleNormal="100" workbookViewId="0">
      <selection activeCell="C7" sqref="C7"/>
    </sheetView>
  </sheetViews>
  <sheetFormatPr defaultRowHeight="15.75" x14ac:dyDescent="0.25"/>
  <cols>
    <col min="1" max="1" width="6.85546875" style="52" customWidth="1"/>
    <col min="2" max="2" width="70.42578125" style="55" customWidth="1"/>
    <col min="3" max="3" width="40.8554687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16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3.77</v>
      </c>
    </row>
    <row r="6" spans="1:3" ht="31.5" x14ac:dyDescent="0.25">
      <c r="A6" s="67"/>
      <c r="B6" s="68" t="s">
        <v>89</v>
      </c>
      <c r="C6" s="70">
        <v>284.45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1313.2640409999999</v>
      </c>
    </row>
    <row r="8" spans="1:3" ht="20.25" x14ac:dyDescent="0.3">
      <c r="A8" s="72">
        <v>2</v>
      </c>
      <c r="B8" s="76" t="s">
        <v>29</v>
      </c>
      <c r="C8" s="78">
        <f>25.73*3.77*12</f>
        <v>1164.0252</v>
      </c>
    </row>
    <row r="9" spans="1:3" ht="20.25" x14ac:dyDescent="0.3">
      <c r="A9" s="72">
        <v>3</v>
      </c>
      <c r="B9" s="79" t="s">
        <v>30</v>
      </c>
      <c r="C9" s="80">
        <v>82.31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66.92884100000002</v>
      </c>
    </row>
    <row r="11" spans="1:3" x14ac:dyDescent="0.25">
      <c r="A11" s="81"/>
      <c r="B11" s="82" t="s">
        <v>32</v>
      </c>
      <c r="C11" s="70">
        <f>0.1101*25.73*17</f>
        <v>48.158841000000002</v>
      </c>
    </row>
    <row r="12" spans="1:3" x14ac:dyDescent="0.25">
      <c r="A12" s="81"/>
      <c r="B12" s="82" t="s">
        <v>33</v>
      </c>
      <c r="C12" s="70">
        <v>5.63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9.31</v>
      </c>
    </row>
    <row r="15" spans="1:3" x14ac:dyDescent="0.25">
      <c r="A15" s="81"/>
      <c r="B15" s="88" t="s">
        <v>36</v>
      </c>
      <c r="C15" s="70">
        <v>1.95</v>
      </c>
    </row>
    <row r="16" spans="1:3" x14ac:dyDescent="0.25">
      <c r="A16" s="81"/>
      <c r="B16" s="82" t="s">
        <v>37</v>
      </c>
      <c r="C16" s="70">
        <v>1.2</v>
      </c>
    </row>
    <row r="17" spans="1:3" x14ac:dyDescent="0.25">
      <c r="A17" s="89"/>
      <c r="B17" s="82" t="s">
        <v>95</v>
      </c>
      <c r="C17" s="70">
        <v>2</v>
      </c>
    </row>
    <row r="18" spans="1:3" x14ac:dyDescent="0.25">
      <c r="A18" s="90"/>
      <c r="B18" s="88" t="s">
        <v>38</v>
      </c>
      <c r="C18" s="70">
        <v>0.68</v>
      </c>
    </row>
    <row r="19" spans="1:3" x14ac:dyDescent="0.25">
      <c r="A19" s="90"/>
      <c r="B19" s="88" t="s">
        <v>101</v>
      </c>
      <c r="C19" s="70">
        <v>3.47</v>
      </c>
    </row>
    <row r="20" spans="1:3" x14ac:dyDescent="0.25">
      <c r="A20" s="90"/>
      <c r="B20" s="88" t="s">
        <v>102</v>
      </c>
      <c r="C20" s="70">
        <v>2.65</v>
      </c>
    </row>
    <row r="21" spans="1:3" ht="18.75" x14ac:dyDescent="0.25">
      <c r="A21" s="92"/>
      <c r="B21" s="93" t="s">
        <v>39</v>
      </c>
      <c r="C21" s="94">
        <f t="shared" ref="C21" si="2">C7/C22*100</f>
        <v>100.15939912892158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1311.174041</v>
      </c>
    </row>
    <row r="23" spans="1:3" ht="20.25" x14ac:dyDescent="0.3">
      <c r="A23" s="72">
        <v>2</v>
      </c>
      <c r="B23" s="76" t="s">
        <v>29</v>
      </c>
      <c r="C23" s="78">
        <f>25.73*3.77*12</f>
        <v>1164.0252</v>
      </c>
    </row>
    <row r="24" spans="1:3" ht="20.25" x14ac:dyDescent="0.3">
      <c r="A24" s="72">
        <v>3</v>
      </c>
      <c r="B24" s="79" t="s">
        <v>30</v>
      </c>
      <c r="C24" s="80">
        <v>82.53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64.618841000000018</v>
      </c>
    </row>
    <row r="26" spans="1:3" x14ac:dyDescent="0.25">
      <c r="A26" s="81"/>
      <c r="B26" s="82" t="s">
        <v>32</v>
      </c>
      <c r="C26" s="70">
        <f>0.1101*25.73*17</f>
        <v>48.158841000000002</v>
      </c>
    </row>
    <row r="27" spans="1:3" x14ac:dyDescent="0.25">
      <c r="A27" s="81"/>
      <c r="B27" s="82" t="s">
        <v>33</v>
      </c>
      <c r="C27" s="70">
        <v>5.63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8.23</v>
      </c>
    </row>
    <row r="30" spans="1:3" x14ac:dyDescent="0.25">
      <c r="A30" s="81"/>
      <c r="B30" s="88" t="s">
        <v>36</v>
      </c>
      <c r="C30" s="70">
        <v>0.72</v>
      </c>
    </row>
    <row r="31" spans="1:3" x14ac:dyDescent="0.25">
      <c r="A31" s="81"/>
      <c r="B31" s="82" t="s">
        <v>37</v>
      </c>
      <c r="C31" s="70">
        <v>1.2</v>
      </c>
    </row>
    <row r="32" spans="1:3" x14ac:dyDescent="0.25">
      <c r="A32" s="90"/>
      <c r="B32" s="88" t="s">
        <v>38</v>
      </c>
      <c r="C32" s="70">
        <v>0.68</v>
      </c>
    </row>
    <row r="33" spans="1:3" x14ac:dyDescent="0.25">
      <c r="A33" s="90"/>
      <c r="B33" s="82" t="s">
        <v>95</v>
      </c>
      <c r="C33" s="70">
        <v>0.76</v>
      </c>
    </row>
    <row r="34" spans="1:3" x14ac:dyDescent="0.25">
      <c r="A34" s="98"/>
      <c r="B34" s="99" t="s">
        <v>41</v>
      </c>
      <c r="C34" s="80">
        <f t="shared" ref="C34" si="5">C35+C62+C81+C83+C84</f>
        <v>1922.498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1569.268</v>
      </c>
    </row>
    <row r="36" spans="1:3" x14ac:dyDescent="0.25">
      <c r="A36" s="100">
        <v>2</v>
      </c>
      <c r="B36" s="76" t="s">
        <v>43</v>
      </c>
      <c r="C36" s="51">
        <v>212.87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515.51</v>
      </c>
    </row>
    <row r="39" spans="1:3" x14ac:dyDescent="0.25">
      <c r="A39" s="100">
        <v>5</v>
      </c>
      <c r="B39" s="102" t="s">
        <v>46</v>
      </c>
      <c r="C39" s="51">
        <v>75.89</v>
      </c>
    </row>
    <row r="40" spans="1:3" ht="31.5" x14ac:dyDescent="0.25">
      <c r="A40" s="100">
        <v>6</v>
      </c>
      <c r="B40" s="102" t="s">
        <v>47</v>
      </c>
      <c r="C40" s="51">
        <v>13.03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727.26800000000003</v>
      </c>
    </row>
    <row r="42" spans="1:3" x14ac:dyDescent="0.25">
      <c r="A42" s="100"/>
      <c r="B42" s="88" t="s">
        <v>49</v>
      </c>
      <c r="C42" s="51">
        <f>43.033+7.635-12</f>
        <v>38.667999999999999</v>
      </c>
    </row>
    <row r="43" spans="1:3" x14ac:dyDescent="0.25">
      <c r="A43" s="100"/>
      <c r="B43" s="88" t="s">
        <v>91</v>
      </c>
      <c r="C43" s="51">
        <f>361.33+20.8</f>
        <v>382.13</v>
      </c>
    </row>
    <row r="44" spans="1:3" x14ac:dyDescent="0.25">
      <c r="A44" s="81"/>
      <c r="B44" s="88" t="s">
        <v>78</v>
      </c>
      <c r="C44" s="51">
        <v>16.47</v>
      </c>
    </row>
    <row r="45" spans="1:3" x14ac:dyDescent="0.25">
      <c r="A45" s="105"/>
      <c r="B45" s="88" t="s">
        <v>90</v>
      </c>
      <c r="C45" s="51">
        <v>290</v>
      </c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17.89</v>
      </c>
    </row>
    <row r="49" spans="1:3" x14ac:dyDescent="0.25">
      <c r="A49" s="100"/>
      <c r="B49" s="106" t="s">
        <v>52</v>
      </c>
      <c r="C49" s="51">
        <v>5.0599999999999996</v>
      </c>
    </row>
    <row r="50" spans="1:3" x14ac:dyDescent="0.25">
      <c r="A50" s="100"/>
      <c r="B50" s="106" t="s">
        <v>53</v>
      </c>
      <c r="C50" s="51">
        <v>1.49</v>
      </c>
    </row>
    <row r="51" spans="1:3" x14ac:dyDescent="0.25">
      <c r="A51" s="100"/>
      <c r="B51" s="106" t="s">
        <v>54</v>
      </c>
      <c r="C51" s="51">
        <v>2.65</v>
      </c>
    </row>
    <row r="52" spans="1:3" x14ac:dyDescent="0.25">
      <c r="A52" s="100"/>
      <c r="B52" s="106" t="s">
        <v>55</v>
      </c>
      <c r="C52" s="51">
        <v>3.59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1.17</v>
      </c>
    </row>
    <row r="55" spans="1:3" x14ac:dyDescent="0.25">
      <c r="A55" s="100"/>
      <c r="B55" s="88" t="s">
        <v>96</v>
      </c>
      <c r="C55" s="51">
        <v>3.4</v>
      </c>
    </row>
    <row r="56" spans="1:3" x14ac:dyDescent="0.25">
      <c r="A56" s="100"/>
      <c r="B56" s="88" t="s">
        <v>97</v>
      </c>
      <c r="C56" s="51">
        <v>0.53</v>
      </c>
    </row>
    <row r="57" spans="1:3" x14ac:dyDescent="0.25">
      <c r="A57" s="100"/>
      <c r="B57" s="88" t="s">
        <v>103</v>
      </c>
      <c r="C57" s="51">
        <v>16</v>
      </c>
    </row>
    <row r="58" spans="1:3" x14ac:dyDescent="0.25">
      <c r="A58" s="100"/>
      <c r="B58" s="88" t="s">
        <v>104</v>
      </c>
      <c r="C58" s="51">
        <v>2.31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6.8100000000000005</v>
      </c>
    </row>
    <row r="60" spans="1:3" x14ac:dyDescent="0.25">
      <c r="A60" s="100"/>
      <c r="B60" s="82" t="s">
        <v>58</v>
      </c>
      <c r="C60" s="51">
        <v>4.6100000000000003</v>
      </c>
    </row>
    <row r="61" spans="1:3" x14ac:dyDescent="0.25">
      <c r="A61" s="100"/>
      <c r="B61" s="82" t="s">
        <v>59</v>
      </c>
      <c r="C61" s="51">
        <v>2.2000000000000002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228.66</v>
      </c>
    </row>
    <row r="63" spans="1:3" x14ac:dyDescent="0.25">
      <c r="A63" s="100">
        <v>11</v>
      </c>
      <c r="B63" s="76" t="s">
        <v>61</v>
      </c>
      <c r="C63" s="51">
        <v>50.02</v>
      </c>
    </row>
    <row r="64" spans="1:3" x14ac:dyDescent="0.25">
      <c r="A64" s="100">
        <v>12</v>
      </c>
      <c r="B64" s="108" t="s">
        <v>62</v>
      </c>
      <c r="C64" s="51">
        <v>132.38999999999999</v>
      </c>
    </row>
    <row r="65" spans="1:3" x14ac:dyDescent="0.25">
      <c r="A65" s="100">
        <v>13</v>
      </c>
      <c r="B65" s="108" t="s">
        <v>46</v>
      </c>
      <c r="C65" s="51">
        <v>31.18</v>
      </c>
    </row>
    <row r="66" spans="1:3" x14ac:dyDescent="0.25">
      <c r="A66" s="100">
        <v>14</v>
      </c>
      <c r="B66" s="103" t="s">
        <v>63</v>
      </c>
      <c r="C66" s="80">
        <f t="shared" ref="C66" si="11">C68</f>
        <v>2.16</v>
      </c>
    </row>
    <row r="67" spans="1:3" x14ac:dyDescent="0.25">
      <c r="A67" s="109"/>
      <c r="B67" s="106" t="s">
        <v>99</v>
      </c>
      <c r="C67" s="51">
        <v>4.24</v>
      </c>
    </row>
    <row r="68" spans="1:3" x14ac:dyDescent="0.25">
      <c r="A68" s="100"/>
      <c r="B68" s="108" t="s">
        <v>64</v>
      </c>
      <c r="C68" s="51">
        <v>2.16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12.91</v>
      </c>
    </row>
    <row r="70" spans="1:3" x14ac:dyDescent="0.25">
      <c r="A70" s="100"/>
      <c r="B70" s="82" t="s">
        <v>66</v>
      </c>
      <c r="C70" s="51">
        <v>0.45</v>
      </c>
    </row>
    <row r="71" spans="1:3" x14ac:dyDescent="0.25">
      <c r="A71" s="100"/>
      <c r="B71" s="82" t="s">
        <v>67</v>
      </c>
      <c r="C71" s="51">
        <v>3.48</v>
      </c>
    </row>
    <row r="72" spans="1:3" x14ac:dyDescent="0.25">
      <c r="A72" s="100"/>
      <c r="B72" s="82" t="s">
        <v>68</v>
      </c>
      <c r="C72" s="51">
        <v>1.73</v>
      </c>
    </row>
    <row r="73" spans="1:3" x14ac:dyDescent="0.25">
      <c r="A73" s="112"/>
      <c r="B73" s="82" t="s">
        <v>69</v>
      </c>
      <c r="C73" s="51">
        <v>1.44</v>
      </c>
    </row>
    <row r="74" spans="1:3" x14ac:dyDescent="0.25">
      <c r="A74" s="112"/>
      <c r="B74" s="82" t="s">
        <v>70</v>
      </c>
      <c r="C74" s="87">
        <v>0.18</v>
      </c>
    </row>
    <row r="75" spans="1:3" x14ac:dyDescent="0.25">
      <c r="A75" s="112"/>
      <c r="B75" s="82" t="s">
        <v>71</v>
      </c>
      <c r="C75" s="87">
        <v>0.48</v>
      </c>
    </row>
    <row r="76" spans="1:3" x14ac:dyDescent="0.25">
      <c r="A76" s="112"/>
      <c r="B76" s="82" t="s">
        <v>72</v>
      </c>
      <c r="C76" s="87">
        <v>0.25</v>
      </c>
    </row>
    <row r="77" spans="1:3" x14ac:dyDescent="0.25">
      <c r="A77" s="100"/>
      <c r="B77" s="82" t="s">
        <v>98</v>
      </c>
      <c r="C77" s="51">
        <v>2.4</v>
      </c>
    </row>
    <row r="78" spans="1:3" x14ac:dyDescent="0.25">
      <c r="A78" s="100"/>
      <c r="B78" s="82" t="s">
        <v>73</v>
      </c>
      <c r="C78" s="51">
        <v>0.09</v>
      </c>
    </row>
    <row r="79" spans="1:3" x14ac:dyDescent="0.25">
      <c r="A79" s="100"/>
      <c r="B79" s="82" t="s">
        <v>100</v>
      </c>
      <c r="C79" s="51">
        <v>0.01</v>
      </c>
    </row>
    <row r="80" spans="1:3" x14ac:dyDescent="0.25">
      <c r="A80" s="113"/>
      <c r="B80" s="82" t="s">
        <v>74</v>
      </c>
      <c r="C80" s="51">
        <v>2.1800000000000002</v>
      </c>
    </row>
    <row r="81" spans="1:3" x14ac:dyDescent="0.25">
      <c r="A81" s="114"/>
      <c r="B81" s="82" t="s">
        <v>75</v>
      </c>
      <c r="C81" s="51">
        <v>33.86</v>
      </c>
    </row>
    <row r="82" spans="1:3" x14ac:dyDescent="0.25">
      <c r="A82" s="114"/>
      <c r="B82" s="108" t="s">
        <v>76</v>
      </c>
      <c r="C82" s="51">
        <v>0.22</v>
      </c>
    </row>
    <row r="83" spans="1:3" x14ac:dyDescent="0.25">
      <c r="A83" s="115">
        <v>18</v>
      </c>
      <c r="B83" s="102" t="s">
        <v>77</v>
      </c>
      <c r="C83" s="51">
        <v>17.3</v>
      </c>
    </row>
    <row r="84" spans="1:3" ht="18" x14ac:dyDescent="0.25">
      <c r="A84" s="116">
        <v>19</v>
      </c>
      <c r="B84" s="79" t="s">
        <v>30</v>
      </c>
      <c r="C84" s="117">
        <v>73.41</v>
      </c>
    </row>
    <row r="85" spans="1:3" ht="29.25" x14ac:dyDescent="0.25">
      <c r="A85" s="118"/>
      <c r="B85" s="119" t="s">
        <v>105</v>
      </c>
      <c r="C85" s="120">
        <f t="shared" ref="C85" si="13">C22-C34</f>
        <v>-611.32395900000006</v>
      </c>
    </row>
    <row r="86" spans="1:3" ht="31.5" x14ac:dyDescent="0.25">
      <c r="A86" s="60"/>
      <c r="B86" s="61" t="s">
        <v>92</v>
      </c>
      <c r="C86" s="80">
        <v>352.58</v>
      </c>
    </row>
    <row r="87" spans="1:3" x14ac:dyDescent="0.25">
      <c r="C87" s="86"/>
    </row>
  </sheetData>
  <pageMargins left="0.7" right="0.7" top="0.26" bottom="0.24" header="0.3" footer="0.2"/>
  <pageSetup paperSize="9" scale="4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K91" sqref="K91"/>
    </sheetView>
  </sheetViews>
  <sheetFormatPr defaultRowHeight="15.75" x14ac:dyDescent="0.25"/>
  <cols>
    <col min="1" max="1" width="6.85546875" style="52" customWidth="1"/>
    <col min="2" max="2" width="75.140625" style="55" customWidth="1"/>
    <col min="3" max="3" width="32.14062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13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5.46</v>
      </c>
    </row>
    <row r="6" spans="1:3" x14ac:dyDescent="0.25">
      <c r="A6" s="67"/>
      <c r="B6" s="68" t="s">
        <v>89</v>
      </c>
      <c r="C6" s="70">
        <v>329.37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1956.2238388999999</v>
      </c>
    </row>
    <row r="8" spans="1:3" ht="20.25" x14ac:dyDescent="0.3">
      <c r="A8" s="72">
        <v>2</v>
      </c>
      <c r="B8" s="76" t="s">
        <v>29</v>
      </c>
      <c r="C8" s="78">
        <f>25.73*5.46*12</f>
        <v>1685.8296</v>
      </c>
    </row>
    <row r="9" spans="1:3" ht="20.25" x14ac:dyDescent="0.3">
      <c r="A9" s="72">
        <v>3</v>
      </c>
      <c r="B9" s="79" t="s">
        <v>30</v>
      </c>
      <c r="C9" s="80">
        <v>119.21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151.18423889999997</v>
      </c>
    </row>
    <row r="11" spans="1:3" x14ac:dyDescent="0.25">
      <c r="A11" s="81"/>
      <c r="B11" s="82" t="s">
        <v>32</v>
      </c>
      <c r="C11" s="70">
        <f>0.27929*25.73*17</f>
        <v>122.1642389</v>
      </c>
    </row>
    <row r="12" spans="1:3" x14ac:dyDescent="0.25">
      <c r="A12" s="81"/>
      <c r="B12" s="82" t="s">
        <v>33</v>
      </c>
      <c r="C12" s="70">
        <v>8.15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12.48</v>
      </c>
    </row>
    <row r="15" spans="1:3" x14ac:dyDescent="0.25">
      <c r="A15" s="81"/>
      <c r="B15" s="88" t="s">
        <v>36</v>
      </c>
      <c r="C15" s="70">
        <v>2.79</v>
      </c>
    </row>
    <row r="16" spans="1:3" x14ac:dyDescent="0.25">
      <c r="A16" s="81"/>
      <c r="B16" s="82" t="s">
        <v>37</v>
      </c>
      <c r="C16" s="70"/>
    </row>
    <row r="17" spans="1:3" x14ac:dyDescent="0.25">
      <c r="A17" s="89"/>
      <c r="B17" s="82" t="s">
        <v>95</v>
      </c>
      <c r="C17" s="70">
        <v>2.9</v>
      </c>
    </row>
    <row r="18" spans="1:3" x14ac:dyDescent="0.25">
      <c r="A18" s="90"/>
      <c r="B18" s="88" t="s">
        <v>38</v>
      </c>
      <c r="C18" s="70">
        <v>5.6</v>
      </c>
    </row>
    <row r="19" spans="1:3" x14ac:dyDescent="0.25">
      <c r="A19" s="90"/>
      <c r="B19" s="88" t="s">
        <v>101</v>
      </c>
      <c r="C19" s="70">
        <v>5.03</v>
      </c>
    </row>
    <row r="20" spans="1:3" x14ac:dyDescent="0.25">
      <c r="A20" s="90"/>
      <c r="B20" s="88" t="s">
        <v>102</v>
      </c>
      <c r="C20" s="70">
        <v>4.03</v>
      </c>
    </row>
    <row r="21" spans="1:3" ht="18.75" x14ac:dyDescent="0.25">
      <c r="A21" s="92"/>
      <c r="B21" s="93" t="s">
        <v>39</v>
      </c>
      <c r="C21" s="94">
        <f t="shared" ref="C21" si="2">C7/C22*100</f>
        <v>100.10131796046058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1954.2438388999999</v>
      </c>
    </row>
    <row r="23" spans="1:3" ht="20.25" x14ac:dyDescent="0.3">
      <c r="A23" s="72">
        <v>2</v>
      </c>
      <c r="B23" s="76" t="s">
        <v>29</v>
      </c>
      <c r="C23" s="78">
        <f>25.73*5.46*12</f>
        <v>1685.8296</v>
      </c>
    </row>
    <row r="24" spans="1:3" ht="20.25" x14ac:dyDescent="0.3">
      <c r="A24" s="72">
        <v>3</v>
      </c>
      <c r="B24" s="79" t="s">
        <v>30</v>
      </c>
      <c r="C24" s="80">
        <v>119.53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148.88423889999999</v>
      </c>
    </row>
    <row r="26" spans="1:3" x14ac:dyDescent="0.25">
      <c r="A26" s="81"/>
      <c r="B26" s="82" t="s">
        <v>32</v>
      </c>
      <c r="C26" s="70">
        <f>0.27929*25.73*17</f>
        <v>122.1642389</v>
      </c>
    </row>
    <row r="27" spans="1:3" x14ac:dyDescent="0.25">
      <c r="A27" s="81"/>
      <c r="B27" s="82" t="s">
        <v>33</v>
      </c>
      <c r="C27" s="70">
        <v>8.15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11.92</v>
      </c>
    </row>
    <row r="30" spans="1:3" x14ac:dyDescent="0.25">
      <c r="A30" s="81"/>
      <c r="B30" s="88" t="s">
        <v>36</v>
      </c>
      <c r="C30" s="70">
        <v>1.05</v>
      </c>
    </row>
    <row r="31" spans="1:3" x14ac:dyDescent="0.25">
      <c r="A31" s="81"/>
      <c r="B31" s="82" t="s">
        <v>37</v>
      </c>
      <c r="C31" s="70"/>
    </row>
    <row r="32" spans="1:3" x14ac:dyDescent="0.25">
      <c r="A32" s="90"/>
      <c r="B32" s="88" t="s">
        <v>38</v>
      </c>
      <c r="C32" s="70">
        <v>5.6</v>
      </c>
    </row>
    <row r="33" spans="1:3" x14ac:dyDescent="0.25">
      <c r="A33" s="90"/>
      <c r="B33" s="82" t="s">
        <v>95</v>
      </c>
      <c r="C33" s="70">
        <v>1.1000000000000001</v>
      </c>
    </row>
    <row r="34" spans="1:3" x14ac:dyDescent="0.25">
      <c r="A34" s="98"/>
      <c r="B34" s="99" t="s">
        <v>41</v>
      </c>
      <c r="C34" s="80">
        <f t="shared" ref="C34" si="5">C35+C62+C81+C83+C84</f>
        <v>1735.0309999999997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1223.7809999999999</v>
      </c>
    </row>
    <row r="36" spans="1:3" x14ac:dyDescent="0.25">
      <c r="A36" s="100">
        <v>2</v>
      </c>
      <c r="B36" s="76" t="s">
        <v>43</v>
      </c>
      <c r="C36" s="51">
        <v>308.3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436.96</v>
      </c>
    </row>
    <row r="39" spans="1:3" x14ac:dyDescent="0.25">
      <c r="A39" s="100">
        <v>5</v>
      </c>
      <c r="B39" s="102" t="s">
        <v>46</v>
      </c>
      <c r="C39" s="51">
        <v>119.92</v>
      </c>
    </row>
    <row r="40" spans="1:3" ht="31.5" x14ac:dyDescent="0.25">
      <c r="A40" s="100">
        <v>6</v>
      </c>
      <c r="B40" s="102" t="s">
        <v>47</v>
      </c>
      <c r="C40" s="51">
        <v>18.670000000000002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304.55099999999999</v>
      </c>
    </row>
    <row r="42" spans="1:3" x14ac:dyDescent="0.25">
      <c r="A42" s="100"/>
      <c r="B42" s="88" t="s">
        <v>49</v>
      </c>
      <c r="C42" s="51">
        <f>25.57+19.631-12</f>
        <v>33.201000000000001</v>
      </c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23.85</v>
      </c>
    </row>
    <row r="45" spans="1:3" x14ac:dyDescent="0.25">
      <c r="A45" s="105"/>
      <c r="B45" s="88" t="s">
        <v>90</v>
      </c>
      <c r="C45" s="51">
        <v>247.5</v>
      </c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25.900000000000002</v>
      </c>
    </row>
    <row r="49" spans="1:3" x14ac:dyDescent="0.25">
      <c r="A49" s="100"/>
      <c r="B49" s="106" t="s">
        <v>52</v>
      </c>
      <c r="C49" s="51">
        <v>7.33</v>
      </c>
    </row>
    <row r="50" spans="1:3" x14ac:dyDescent="0.25">
      <c r="A50" s="100"/>
      <c r="B50" s="106" t="s">
        <v>53</v>
      </c>
      <c r="C50" s="51">
        <v>2.16</v>
      </c>
    </row>
    <row r="51" spans="1:3" x14ac:dyDescent="0.25">
      <c r="A51" s="100"/>
      <c r="B51" s="106" t="s">
        <v>54</v>
      </c>
      <c r="C51" s="51">
        <v>3.83</v>
      </c>
    </row>
    <row r="52" spans="1:3" x14ac:dyDescent="0.25">
      <c r="A52" s="100"/>
      <c r="B52" s="106" t="s">
        <v>55</v>
      </c>
      <c r="C52" s="51">
        <v>5.2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1.69</v>
      </c>
    </row>
    <row r="55" spans="1:3" x14ac:dyDescent="0.25">
      <c r="A55" s="100"/>
      <c r="B55" s="88" t="s">
        <v>96</v>
      </c>
      <c r="C55" s="51">
        <v>4.92</v>
      </c>
    </row>
    <row r="56" spans="1:3" x14ac:dyDescent="0.25">
      <c r="A56" s="100"/>
      <c r="B56" s="88" t="s">
        <v>97</v>
      </c>
      <c r="C56" s="51">
        <v>0.77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3.35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9.48</v>
      </c>
    </row>
    <row r="60" spans="1:3" x14ac:dyDescent="0.25">
      <c r="A60" s="100"/>
      <c r="B60" s="82" t="s">
        <v>58</v>
      </c>
      <c r="C60" s="51">
        <v>6.68</v>
      </c>
    </row>
    <row r="61" spans="1:3" x14ac:dyDescent="0.25">
      <c r="A61" s="100"/>
      <c r="B61" s="82" t="s">
        <v>59</v>
      </c>
      <c r="C61" s="51">
        <v>2.8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330.79</v>
      </c>
    </row>
    <row r="63" spans="1:3" x14ac:dyDescent="0.25">
      <c r="A63" s="100">
        <v>11</v>
      </c>
      <c r="B63" s="76" t="s">
        <v>61</v>
      </c>
      <c r="C63" s="51">
        <v>72.45</v>
      </c>
    </row>
    <row r="64" spans="1:3" x14ac:dyDescent="0.25">
      <c r="A64" s="100">
        <v>12</v>
      </c>
      <c r="B64" s="108" t="s">
        <v>62</v>
      </c>
      <c r="C64" s="51">
        <v>191.74</v>
      </c>
    </row>
    <row r="65" spans="1:3" x14ac:dyDescent="0.25">
      <c r="A65" s="100">
        <v>13</v>
      </c>
      <c r="B65" s="108" t="s">
        <v>46</v>
      </c>
      <c r="C65" s="51">
        <v>45.16</v>
      </c>
    </row>
    <row r="66" spans="1:3" x14ac:dyDescent="0.25">
      <c r="A66" s="100">
        <v>14</v>
      </c>
      <c r="B66" s="103" t="s">
        <v>63</v>
      </c>
      <c r="C66" s="80">
        <f t="shared" ref="C66" si="11">C68</f>
        <v>3.13</v>
      </c>
    </row>
    <row r="67" spans="1:3" x14ac:dyDescent="0.25">
      <c r="A67" s="109"/>
      <c r="B67" s="106" t="s">
        <v>99</v>
      </c>
      <c r="C67" s="51">
        <v>6.15</v>
      </c>
    </row>
    <row r="68" spans="1:3" x14ac:dyDescent="0.25">
      <c r="A68" s="100"/>
      <c r="B68" s="108" t="s">
        <v>64</v>
      </c>
      <c r="C68" s="51">
        <v>3.13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18.309999999999999</v>
      </c>
    </row>
    <row r="70" spans="1:3" x14ac:dyDescent="0.25">
      <c r="A70" s="100"/>
      <c r="B70" s="82" t="s">
        <v>66</v>
      </c>
      <c r="C70" s="51">
        <v>0.26</v>
      </c>
    </row>
    <row r="71" spans="1:3" x14ac:dyDescent="0.25">
      <c r="A71" s="100"/>
      <c r="B71" s="82" t="s">
        <v>67</v>
      </c>
      <c r="C71" s="51">
        <v>5.04</v>
      </c>
    </row>
    <row r="72" spans="1:3" x14ac:dyDescent="0.25">
      <c r="A72" s="100"/>
      <c r="B72" s="82" t="s">
        <v>68</v>
      </c>
      <c r="C72" s="51">
        <v>2.5</v>
      </c>
    </row>
    <row r="73" spans="1:3" x14ac:dyDescent="0.25">
      <c r="A73" s="112"/>
      <c r="B73" s="82" t="s">
        <v>69</v>
      </c>
      <c r="C73" s="51">
        <v>2.08</v>
      </c>
    </row>
    <row r="74" spans="1:3" x14ac:dyDescent="0.25">
      <c r="A74" s="112"/>
      <c r="B74" s="82" t="s">
        <v>70</v>
      </c>
      <c r="C74" s="87">
        <v>0.26</v>
      </c>
    </row>
    <row r="75" spans="1:3" x14ac:dyDescent="0.25">
      <c r="A75" s="112"/>
      <c r="B75" s="82" t="s">
        <v>71</v>
      </c>
      <c r="C75" s="87">
        <v>0.7</v>
      </c>
    </row>
    <row r="76" spans="1:3" x14ac:dyDescent="0.25">
      <c r="A76" s="112"/>
      <c r="B76" s="82" t="s">
        <v>72</v>
      </c>
      <c r="C76" s="87">
        <v>0.36</v>
      </c>
    </row>
    <row r="77" spans="1:3" x14ac:dyDescent="0.25">
      <c r="A77" s="100"/>
      <c r="B77" s="82" t="s">
        <v>98</v>
      </c>
      <c r="C77" s="51">
        <v>3.47</v>
      </c>
    </row>
    <row r="78" spans="1:3" x14ac:dyDescent="0.25">
      <c r="A78" s="100"/>
      <c r="B78" s="82" t="s">
        <v>73</v>
      </c>
      <c r="C78" s="51">
        <v>0.14000000000000001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3.16</v>
      </c>
    </row>
    <row r="81" spans="1:3" x14ac:dyDescent="0.25">
      <c r="A81" s="114"/>
      <c r="B81" s="82" t="s">
        <v>75</v>
      </c>
      <c r="C81" s="51">
        <v>49.04</v>
      </c>
    </row>
    <row r="82" spans="1:3" x14ac:dyDescent="0.25">
      <c r="A82" s="114"/>
      <c r="B82" s="108" t="s">
        <v>76</v>
      </c>
      <c r="C82" s="51">
        <v>0.32</v>
      </c>
    </row>
    <row r="83" spans="1:3" x14ac:dyDescent="0.25">
      <c r="A83" s="115">
        <v>18</v>
      </c>
      <c r="B83" s="102" t="s">
        <v>77</v>
      </c>
      <c r="C83" s="51">
        <v>25.1</v>
      </c>
    </row>
    <row r="84" spans="1:3" ht="18" x14ac:dyDescent="0.25">
      <c r="A84" s="116">
        <v>19</v>
      </c>
      <c r="B84" s="79" t="s">
        <v>30</v>
      </c>
      <c r="C84" s="117">
        <v>106.32</v>
      </c>
    </row>
    <row r="85" spans="1:3" ht="29.25" x14ac:dyDescent="0.25">
      <c r="A85" s="118"/>
      <c r="B85" s="119" t="s">
        <v>105</v>
      </c>
      <c r="C85" s="120">
        <f t="shared" ref="C85" si="13">C22-C34</f>
        <v>219.21283890000018</v>
      </c>
    </row>
    <row r="86" spans="1:3" ht="31.5" x14ac:dyDescent="0.25">
      <c r="A86" s="60"/>
      <c r="B86" s="61" t="s">
        <v>92</v>
      </c>
      <c r="C86" s="80">
        <v>331.7</v>
      </c>
    </row>
    <row r="87" spans="1:3" x14ac:dyDescent="0.25">
      <c r="C87" s="86"/>
    </row>
  </sheetData>
  <pageMargins left="0.7" right="0.7" top="0.33" bottom="0.25" header="0.3" footer="0.3"/>
  <pageSetup paperSize="9" scale="57" orientation="portrait" verticalDpi="300" r:id="rId1"/>
  <rowBreaks count="1" manualBreakCount="1">
    <brk id="6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I26" sqref="I26"/>
    </sheetView>
  </sheetViews>
  <sheetFormatPr defaultRowHeight="15.75" x14ac:dyDescent="0.25"/>
  <cols>
    <col min="1" max="1" width="6.85546875" style="52" customWidth="1"/>
    <col min="2" max="2" width="70.140625" style="55" customWidth="1"/>
    <col min="3" max="3" width="39.14062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14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8.56</v>
      </c>
    </row>
    <row r="6" spans="1:3" ht="31.5" x14ac:dyDescent="0.25">
      <c r="A6" s="67"/>
      <c r="B6" s="68" t="s">
        <v>89</v>
      </c>
      <c r="C6" s="70">
        <v>375.74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2926.3120223000001</v>
      </c>
    </row>
    <row r="8" spans="1:3" ht="20.25" x14ac:dyDescent="0.3">
      <c r="A8" s="72">
        <v>2</v>
      </c>
      <c r="B8" s="76" t="s">
        <v>29</v>
      </c>
      <c r="C8" s="78">
        <f>25.73*8.56*12</f>
        <v>2642.9856</v>
      </c>
    </row>
    <row r="9" spans="1:3" ht="20.25" x14ac:dyDescent="0.3">
      <c r="A9" s="72">
        <v>3</v>
      </c>
      <c r="B9" s="79" t="s">
        <v>30</v>
      </c>
      <c r="C9" s="80">
        <v>186.9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96.426422299999999</v>
      </c>
    </row>
    <row r="11" spans="1:3" x14ac:dyDescent="0.25">
      <c r="A11" s="81"/>
      <c r="B11" s="82" t="s">
        <v>32</v>
      </c>
      <c r="C11" s="70">
        <f>0.13003*25.73*17</f>
        <v>56.876422300000002</v>
      </c>
    </row>
    <row r="12" spans="1:3" x14ac:dyDescent="0.25">
      <c r="A12" s="81"/>
      <c r="B12" s="82" t="s">
        <v>33</v>
      </c>
      <c r="C12" s="70">
        <v>12.77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21.14</v>
      </c>
    </row>
    <row r="15" spans="1:3" x14ac:dyDescent="0.25">
      <c r="A15" s="81"/>
      <c r="B15" s="88" t="s">
        <v>36</v>
      </c>
      <c r="C15" s="70">
        <v>2.34</v>
      </c>
    </row>
    <row r="16" spans="1:3" x14ac:dyDescent="0.25">
      <c r="A16" s="81"/>
      <c r="B16" s="82" t="s">
        <v>37</v>
      </c>
      <c r="C16" s="70">
        <v>3</v>
      </c>
    </row>
    <row r="17" spans="1:3" x14ac:dyDescent="0.25">
      <c r="A17" s="89"/>
      <c r="B17" s="82" t="s">
        <v>95</v>
      </c>
      <c r="C17" s="70">
        <v>4.5999999999999996</v>
      </c>
    </row>
    <row r="18" spans="1:3" x14ac:dyDescent="0.25">
      <c r="A18" s="90"/>
      <c r="B18" s="88" t="s">
        <v>38</v>
      </c>
      <c r="C18" s="70">
        <v>0.3</v>
      </c>
    </row>
    <row r="19" spans="1:3" x14ac:dyDescent="0.25">
      <c r="A19" s="90"/>
      <c r="B19" s="88" t="s">
        <v>101</v>
      </c>
      <c r="C19" s="70">
        <v>7.88</v>
      </c>
    </row>
    <row r="20" spans="1:3" x14ac:dyDescent="0.25">
      <c r="A20" s="90"/>
      <c r="B20" s="88" t="s">
        <v>102</v>
      </c>
      <c r="C20" s="70">
        <v>5.55</v>
      </c>
    </row>
    <row r="21" spans="1:3" ht="18.75" x14ac:dyDescent="0.25">
      <c r="A21" s="92"/>
      <c r="B21" s="93" t="s">
        <v>39</v>
      </c>
      <c r="C21" s="94">
        <f t="shared" ref="C21" si="2">C7/C22*100</f>
        <v>100.08687407843794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2923.7720223000001</v>
      </c>
    </row>
    <row r="23" spans="1:3" ht="20.25" x14ac:dyDescent="0.3">
      <c r="A23" s="72">
        <v>2</v>
      </c>
      <c r="B23" s="76" t="s">
        <v>29</v>
      </c>
      <c r="C23" s="78">
        <f>25.73*8.56*12</f>
        <v>2642.9856</v>
      </c>
    </row>
    <row r="24" spans="1:3" ht="20.25" x14ac:dyDescent="0.3">
      <c r="A24" s="72">
        <v>3</v>
      </c>
      <c r="B24" s="79" t="s">
        <v>30</v>
      </c>
      <c r="C24" s="80">
        <v>187.5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93.286422299999998</v>
      </c>
    </row>
    <row r="26" spans="1:3" x14ac:dyDescent="0.25">
      <c r="A26" s="81"/>
      <c r="B26" s="82" t="s">
        <v>32</v>
      </c>
      <c r="C26" s="70">
        <f>0.13003*25.73*17</f>
        <v>56.876422300000002</v>
      </c>
    </row>
    <row r="27" spans="1:3" x14ac:dyDescent="0.25">
      <c r="A27" s="81"/>
      <c r="B27" s="82" t="s">
        <v>33</v>
      </c>
      <c r="C27" s="70">
        <v>12.77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18.7</v>
      </c>
    </row>
    <row r="30" spans="1:3" x14ac:dyDescent="0.25">
      <c r="A30" s="81"/>
      <c r="B30" s="88" t="s">
        <v>36</v>
      </c>
      <c r="C30" s="70">
        <v>1.64</v>
      </c>
    </row>
    <row r="31" spans="1:3" x14ac:dyDescent="0.25">
      <c r="A31" s="81"/>
      <c r="B31" s="82" t="s">
        <v>37</v>
      </c>
      <c r="C31" s="70">
        <v>3</v>
      </c>
    </row>
    <row r="32" spans="1:3" x14ac:dyDescent="0.25">
      <c r="A32" s="90"/>
      <c r="B32" s="88" t="s">
        <v>38</v>
      </c>
      <c r="C32" s="70">
        <v>0.3</v>
      </c>
    </row>
    <row r="33" spans="1:3" x14ac:dyDescent="0.25">
      <c r="A33" s="90"/>
      <c r="B33" s="82" t="s">
        <v>95</v>
      </c>
      <c r="C33" s="70">
        <v>1.73</v>
      </c>
    </row>
    <row r="34" spans="1:3" ht="39" customHeight="1" x14ac:dyDescent="0.25">
      <c r="A34" s="98"/>
      <c r="B34" s="99" t="s">
        <v>41</v>
      </c>
      <c r="C34" s="80">
        <f t="shared" ref="C34" si="5">C35+C62+C81+C83+C84</f>
        <v>2411.2159999999999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1609.6359999999997</v>
      </c>
    </row>
    <row r="36" spans="1:3" x14ac:dyDescent="0.25">
      <c r="A36" s="100">
        <v>2</v>
      </c>
      <c r="B36" s="76" t="s">
        <v>43</v>
      </c>
      <c r="C36" s="51">
        <v>483.33</v>
      </c>
    </row>
    <row r="37" spans="1:3" x14ac:dyDescent="0.25">
      <c r="A37" s="100">
        <v>3</v>
      </c>
      <c r="B37" s="79" t="s">
        <v>44</v>
      </c>
      <c r="C37" s="68"/>
    </row>
    <row r="38" spans="1:3" ht="21" customHeight="1" x14ac:dyDescent="0.25">
      <c r="A38" s="100">
        <v>4</v>
      </c>
      <c r="B38" s="102" t="s">
        <v>45</v>
      </c>
      <c r="C38" s="51">
        <v>736.38</v>
      </c>
    </row>
    <row r="39" spans="1:3" x14ac:dyDescent="0.25">
      <c r="A39" s="100">
        <v>5</v>
      </c>
      <c r="B39" s="102" t="s">
        <v>46</v>
      </c>
      <c r="C39" s="51">
        <v>174.32</v>
      </c>
    </row>
    <row r="40" spans="1:3" ht="31.5" x14ac:dyDescent="0.25">
      <c r="A40" s="100">
        <v>6</v>
      </c>
      <c r="B40" s="102" t="s">
        <v>47</v>
      </c>
      <c r="C40" s="51">
        <v>29.58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130.446</v>
      </c>
    </row>
    <row r="42" spans="1:3" x14ac:dyDescent="0.25">
      <c r="A42" s="100"/>
      <c r="B42" s="88" t="s">
        <v>49</v>
      </c>
      <c r="C42" s="51">
        <f>57.04+51.856+14.16-20-10</f>
        <v>93.055999999999997</v>
      </c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37.39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40.61</v>
      </c>
    </row>
    <row r="49" spans="1:3" x14ac:dyDescent="0.25">
      <c r="A49" s="100"/>
      <c r="B49" s="106" t="s">
        <v>52</v>
      </c>
      <c r="C49" s="51">
        <v>11.5</v>
      </c>
    </row>
    <row r="50" spans="1:3" x14ac:dyDescent="0.25">
      <c r="A50" s="100"/>
      <c r="B50" s="106" t="s">
        <v>53</v>
      </c>
      <c r="C50" s="51">
        <v>3.39</v>
      </c>
    </row>
    <row r="51" spans="1:3" x14ac:dyDescent="0.25">
      <c r="A51" s="100"/>
      <c r="B51" s="106" t="s">
        <v>54</v>
      </c>
      <c r="C51" s="51">
        <v>6.01</v>
      </c>
    </row>
    <row r="52" spans="1:3" x14ac:dyDescent="0.25">
      <c r="A52" s="100"/>
      <c r="B52" s="106" t="s">
        <v>55</v>
      </c>
      <c r="C52" s="51">
        <v>8.15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2.65</v>
      </c>
    </row>
    <row r="55" spans="1:3" ht="27" customHeight="1" x14ac:dyDescent="0.25">
      <c r="A55" s="100"/>
      <c r="B55" s="88" t="s">
        <v>96</v>
      </c>
      <c r="C55" s="51">
        <v>7.71</v>
      </c>
    </row>
    <row r="56" spans="1:3" x14ac:dyDescent="0.25">
      <c r="A56" s="100"/>
      <c r="B56" s="88" t="s">
        <v>97</v>
      </c>
      <c r="C56" s="51">
        <v>1.2</v>
      </c>
    </row>
    <row r="57" spans="1:3" x14ac:dyDescent="0.25">
      <c r="A57" s="100"/>
      <c r="B57" s="88" t="s">
        <v>103</v>
      </c>
      <c r="C57" s="51"/>
    </row>
    <row r="58" spans="1:3" ht="23.25" customHeight="1" x14ac:dyDescent="0.25">
      <c r="A58" s="100"/>
      <c r="B58" s="88" t="s">
        <v>104</v>
      </c>
      <c r="C58" s="51">
        <v>5.25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14.97</v>
      </c>
    </row>
    <row r="60" spans="1:3" x14ac:dyDescent="0.25">
      <c r="A60" s="100"/>
      <c r="B60" s="82" t="s">
        <v>58</v>
      </c>
      <c r="C60" s="51">
        <v>10.47</v>
      </c>
    </row>
    <row r="61" spans="1:3" x14ac:dyDescent="0.25">
      <c r="A61" s="100"/>
      <c r="B61" s="82" t="s">
        <v>59</v>
      </c>
      <c r="C61" s="51">
        <v>4.5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518.6</v>
      </c>
    </row>
    <row r="63" spans="1:3" x14ac:dyDescent="0.25">
      <c r="A63" s="100">
        <v>11</v>
      </c>
      <c r="B63" s="76" t="s">
        <v>61</v>
      </c>
      <c r="C63" s="51">
        <v>113.58</v>
      </c>
    </row>
    <row r="64" spans="1:3" x14ac:dyDescent="0.25">
      <c r="A64" s="100">
        <v>12</v>
      </c>
      <c r="B64" s="108" t="s">
        <v>62</v>
      </c>
      <c r="C64" s="51">
        <v>300.60000000000002</v>
      </c>
    </row>
    <row r="65" spans="1:3" x14ac:dyDescent="0.25">
      <c r="A65" s="100">
        <v>13</v>
      </c>
      <c r="B65" s="108" t="s">
        <v>46</v>
      </c>
      <c r="C65" s="51">
        <v>70.81</v>
      </c>
    </row>
    <row r="66" spans="1:3" x14ac:dyDescent="0.25">
      <c r="A66" s="100">
        <v>14</v>
      </c>
      <c r="B66" s="103" t="s">
        <v>63</v>
      </c>
      <c r="C66" s="80">
        <f t="shared" ref="C66" si="11">C68</f>
        <v>4.9000000000000004</v>
      </c>
    </row>
    <row r="67" spans="1:3" x14ac:dyDescent="0.25">
      <c r="A67" s="109"/>
      <c r="B67" s="106" t="s">
        <v>99</v>
      </c>
      <c r="C67" s="51">
        <v>9.64</v>
      </c>
    </row>
    <row r="68" spans="1:3" x14ac:dyDescent="0.25">
      <c r="A68" s="100"/>
      <c r="B68" s="108" t="s">
        <v>64</v>
      </c>
      <c r="C68" s="51">
        <v>4.9000000000000004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28.710000000000004</v>
      </c>
    </row>
    <row r="70" spans="1:3" x14ac:dyDescent="0.25">
      <c r="A70" s="100"/>
      <c r="B70" s="82" t="s">
        <v>66</v>
      </c>
      <c r="C70" s="51">
        <v>0.41</v>
      </c>
    </row>
    <row r="71" spans="1:3" x14ac:dyDescent="0.25">
      <c r="A71" s="100"/>
      <c r="B71" s="82" t="s">
        <v>67</v>
      </c>
      <c r="C71" s="51">
        <v>7.91</v>
      </c>
    </row>
    <row r="72" spans="1:3" x14ac:dyDescent="0.25">
      <c r="A72" s="100"/>
      <c r="B72" s="82" t="s">
        <v>68</v>
      </c>
      <c r="C72" s="51">
        <v>3.92</v>
      </c>
    </row>
    <row r="73" spans="1:3" x14ac:dyDescent="0.25">
      <c r="A73" s="112"/>
      <c r="B73" s="82" t="s">
        <v>69</v>
      </c>
      <c r="C73" s="51">
        <v>3.26</v>
      </c>
    </row>
    <row r="74" spans="1:3" x14ac:dyDescent="0.25">
      <c r="A74" s="112"/>
      <c r="B74" s="82" t="s">
        <v>70</v>
      </c>
      <c r="C74" s="87">
        <v>0.41</v>
      </c>
    </row>
    <row r="75" spans="1:3" x14ac:dyDescent="0.25">
      <c r="A75" s="112"/>
      <c r="B75" s="82" t="s">
        <v>71</v>
      </c>
      <c r="C75" s="87">
        <v>1.1000000000000001</v>
      </c>
    </row>
    <row r="76" spans="1:3" x14ac:dyDescent="0.25">
      <c r="A76" s="112"/>
      <c r="B76" s="82" t="s">
        <v>72</v>
      </c>
      <c r="C76" s="87">
        <v>0.56000000000000005</v>
      </c>
    </row>
    <row r="77" spans="1:3" x14ac:dyDescent="0.25">
      <c r="A77" s="100"/>
      <c r="B77" s="82" t="s">
        <v>98</v>
      </c>
      <c r="C77" s="51">
        <v>5.44</v>
      </c>
    </row>
    <row r="78" spans="1:3" x14ac:dyDescent="0.25">
      <c r="A78" s="100"/>
      <c r="B78" s="82" t="s">
        <v>73</v>
      </c>
      <c r="C78" s="51">
        <v>0.21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4.96</v>
      </c>
    </row>
    <row r="81" spans="1:3" x14ac:dyDescent="0.25">
      <c r="A81" s="114"/>
      <c r="B81" s="82" t="s">
        <v>75</v>
      </c>
      <c r="C81" s="51">
        <v>76.89</v>
      </c>
    </row>
    <row r="82" spans="1:3" x14ac:dyDescent="0.25">
      <c r="A82" s="114"/>
      <c r="B82" s="108" t="s">
        <v>76</v>
      </c>
      <c r="C82" s="51">
        <v>0.5</v>
      </c>
    </row>
    <row r="83" spans="1:3" x14ac:dyDescent="0.25">
      <c r="A83" s="115">
        <v>18</v>
      </c>
      <c r="B83" s="102" t="s">
        <v>77</v>
      </c>
      <c r="C83" s="51">
        <v>39.4</v>
      </c>
    </row>
    <row r="84" spans="1:3" ht="18" x14ac:dyDescent="0.25">
      <c r="A84" s="116">
        <v>19</v>
      </c>
      <c r="B84" s="79" t="s">
        <v>30</v>
      </c>
      <c r="C84" s="117">
        <v>166.69</v>
      </c>
    </row>
    <row r="85" spans="1:3" ht="29.25" x14ac:dyDescent="0.25">
      <c r="A85" s="118"/>
      <c r="B85" s="119" t="s">
        <v>105</v>
      </c>
      <c r="C85" s="120">
        <f t="shared" ref="C85" si="13">C22-C34</f>
        <v>512.55602230000022</v>
      </c>
    </row>
    <row r="86" spans="1:3" ht="31.5" x14ac:dyDescent="0.25">
      <c r="A86" s="60"/>
      <c r="B86" s="61" t="s">
        <v>92</v>
      </c>
      <c r="C86" s="80">
        <v>362.6</v>
      </c>
    </row>
    <row r="87" spans="1:3" x14ac:dyDescent="0.25">
      <c r="C87" s="86"/>
    </row>
  </sheetData>
  <pageMargins left="0.53" right="0.31" top="0.33" bottom="0.26" header="0.3" footer="0.3"/>
  <pageSetup paperSize="9" scale="54" orientation="portrait" verticalDpi="300" r:id="rId1"/>
  <rowBreaks count="1" manualBreakCount="1"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G47" sqref="G47"/>
    </sheetView>
  </sheetViews>
  <sheetFormatPr defaultRowHeight="15.75" x14ac:dyDescent="0.25"/>
  <cols>
    <col min="1" max="1" width="6.85546875" style="52" customWidth="1"/>
    <col min="2" max="2" width="77.85546875" style="55" customWidth="1"/>
    <col min="3" max="3" width="38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10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10.45</v>
      </c>
    </row>
    <row r="6" spans="1:3" x14ac:dyDescent="0.25">
      <c r="A6" s="67"/>
      <c r="B6" s="68" t="s">
        <v>89</v>
      </c>
      <c r="C6" s="70">
        <v>537.51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3502.5819999999994</v>
      </c>
    </row>
    <row r="8" spans="1:3" ht="20.25" x14ac:dyDescent="0.3">
      <c r="A8" s="72">
        <v>2</v>
      </c>
      <c r="B8" s="76" t="s">
        <v>29</v>
      </c>
      <c r="C8" s="78">
        <f>25.73*10.45*12</f>
        <v>3226.5419999999995</v>
      </c>
    </row>
    <row r="9" spans="1:3" ht="20.25" x14ac:dyDescent="0.3">
      <c r="A9" s="72">
        <v>3</v>
      </c>
      <c r="B9" s="79" t="s">
        <v>30</v>
      </c>
      <c r="C9" s="80">
        <v>228.16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47.879999999999995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15.59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25.81</v>
      </c>
    </row>
    <row r="15" spans="1:3" x14ac:dyDescent="0.25">
      <c r="A15" s="81"/>
      <c r="B15" s="88" t="s">
        <v>36</v>
      </c>
      <c r="C15" s="70">
        <v>0.93</v>
      </c>
    </row>
    <row r="16" spans="1:3" x14ac:dyDescent="0.25">
      <c r="A16" s="81"/>
      <c r="B16" s="82" t="s">
        <v>37</v>
      </c>
      <c r="C16" s="70">
        <f>3.6+0.45</f>
        <v>4.05</v>
      </c>
    </row>
    <row r="17" spans="1:3" x14ac:dyDescent="0.25">
      <c r="A17" s="89"/>
      <c r="B17" s="82" t="s">
        <v>95</v>
      </c>
      <c r="C17" s="70">
        <v>5.6</v>
      </c>
    </row>
    <row r="18" spans="1:3" x14ac:dyDescent="0.25">
      <c r="A18" s="90"/>
      <c r="B18" s="88" t="s">
        <v>38</v>
      </c>
      <c r="C18" s="70">
        <v>1.5</v>
      </c>
    </row>
    <row r="19" spans="1:3" x14ac:dyDescent="0.25">
      <c r="A19" s="90"/>
      <c r="B19" s="88" t="s">
        <v>101</v>
      </c>
      <c r="C19" s="70">
        <v>9.6199999999999992</v>
      </c>
    </row>
    <row r="20" spans="1:3" x14ac:dyDescent="0.25">
      <c r="A20" s="90"/>
      <c r="B20" s="88" t="s">
        <v>102</v>
      </c>
      <c r="C20" s="70">
        <v>8.25</v>
      </c>
    </row>
    <row r="21" spans="1:3" ht="18.75" x14ac:dyDescent="0.25">
      <c r="A21" s="92"/>
      <c r="B21" s="93" t="s">
        <v>39</v>
      </c>
      <c r="C21" s="94">
        <f t="shared" ref="C21" si="2">C7/C22*100</f>
        <v>100.05027390709952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3500.8219999999997</v>
      </c>
    </row>
    <row r="23" spans="1:3" ht="20.25" x14ac:dyDescent="0.3">
      <c r="A23" s="72">
        <v>2</v>
      </c>
      <c r="B23" s="76" t="s">
        <v>29</v>
      </c>
      <c r="C23" s="78">
        <f>25.73*10.45*12</f>
        <v>3226.5419999999995</v>
      </c>
    </row>
    <row r="24" spans="1:3" ht="20.25" x14ac:dyDescent="0.3">
      <c r="A24" s="72">
        <v>3</v>
      </c>
      <c r="B24" s="79" t="s">
        <v>30</v>
      </c>
      <c r="C24" s="80">
        <v>228.76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45.519999999999996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15.59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22.82</v>
      </c>
    </row>
    <row r="30" spans="1:3" x14ac:dyDescent="0.25">
      <c r="A30" s="81"/>
      <c r="B30" s="88" t="s">
        <v>36</v>
      </c>
      <c r="C30" s="70">
        <v>2.0099999999999998</v>
      </c>
    </row>
    <row r="31" spans="1:3" x14ac:dyDescent="0.25">
      <c r="A31" s="81"/>
      <c r="B31" s="82" t="s">
        <v>37</v>
      </c>
      <c r="C31" s="70">
        <f>3.6</f>
        <v>3.6</v>
      </c>
    </row>
    <row r="32" spans="1:3" x14ac:dyDescent="0.25">
      <c r="A32" s="90"/>
      <c r="B32" s="88" t="s">
        <v>38</v>
      </c>
      <c r="C32" s="70">
        <v>1.5</v>
      </c>
    </row>
    <row r="33" spans="1:3" x14ac:dyDescent="0.25">
      <c r="A33" s="90"/>
      <c r="B33" s="82" t="s">
        <v>95</v>
      </c>
      <c r="C33" s="70">
        <v>2.11</v>
      </c>
    </row>
    <row r="34" spans="1:3" x14ac:dyDescent="0.25">
      <c r="A34" s="98"/>
      <c r="B34" s="99" t="s">
        <v>41</v>
      </c>
      <c r="C34" s="80">
        <f t="shared" ref="C34" si="5">C35+C62+C81+C83+C84</f>
        <v>3439.3399999999992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2460.7999999999997</v>
      </c>
    </row>
    <row r="36" spans="1:3" x14ac:dyDescent="0.25">
      <c r="A36" s="100">
        <v>2</v>
      </c>
      <c r="B36" s="76" t="s">
        <v>43</v>
      </c>
      <c r="C36" s="51">
        <v>580.04999999999995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674.55</v>
      </c>
    </row>
    <row r="39" spans="1:3" x14ac:dyDescent="0.25">
      <c r="A39" s="100">
        <v>5</v>
      </c>
      <c r="B39" s="102" t="s">
        <v>46</v>
      </c>
      <c r="C39" s="51">
        <v>220.37</v>
      </c>
    </row>
    <row r="40" spans="1:3" ht="31.5" x14ac:dyDescent="0.25">
      <c r="A40" s="100">
        <v>6</v>
      </c>
      <c r="B40" s="102" t="s">
        <v>47</v>
      </c>
      <c r="C40" s="51">
        <v>36.11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881.86</v>
      </c>
    </row>
    <row r="42" spans="1:3" x14ac:dyDescent="0.25">
      <c r="A42" s="100"/>
      <c r="B42" s="88" t="s">
        <v>49</v>
      </c>
      <c r="C42" s="51">
        <f>78.72-25</f>
        <v>53.72</v>
      </c>
    </row>
    <row r="43" spans="1:3" x14ac:dyDescent="0.25">
      <c r="A43" s="100"/>
      <c r="B43" s="88" t="s">
        <v>91</v>
      </c>
      <c r="C43" s="51">
        <f>293.31+31.59+407.59+50</f>
        <v>782.49</v>
      </c>
    </row>
    <row r="44" spans="1:3" x14ac:dyDescent="0.25">
      <c r="A44" s="81"/>
      <c r="B44" s="88" t="s">
        <v>78</v>
      </c>
      <c r="C44" s="51">
        <v>45.65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49.580000000000005</v>
      </c>
    </row>
    <row r="49" spans="1:3" x14ac:dyDescent="0.25">
      <c r="A49" s="100"/>
      <c r="B49" s="106" t="s">
        <v>52</v>
      </c>
      <c r="C49" s="51">
        <v>14.04</v>
      </c>
    </row>
    <row r="50" spans="1:3" x14ac:dyDescent="0.25">
      <c r="A50" s="100"/>
      <c r="B50" s="106" t="s">
        <v>53</v>
      </c>
      <c r="C50" s="51">
        <v>4.13</v>
      </c>
    </row>
    <row r="51" spans="1:3" x14ac:dyDescent="0.25">
      <c r="A51" s="100"/>
      <c r="B51" s="106" t="s">
        <v>54</v>
      </c>
      <c r="C51" s="51">
        <v>7.33</v>
      </c>
    </row>
    <row r="52" spans="1:3" x14ac:dyDescent="0.25">
      <c r="A52" s="100"/>
      <c r="B52" s="106" t="s">
        <v>55</v>
      </c>
      <c r="C52" s="51">
        <v>9.9499999999999993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3.24</v>
      </c>
    </row>
    <row r="55" spans="1:3" x14ac:dyDescent="0.25">
      <c r="A55" s="100"/>
      <c r="B55" s="88" t="s">
        <v>96</v>
      </c>
      <c r="C55" s="51">
        <v>9.42</v>
      </c>
    </row>
    <row r="56" spans="1:3" x14ac:dyDescent="0.25">
      <c r="A56" s="100"/>
      <c r="B56" s="88" t="s">
        <v>97</v>
      </c>
      <c r="C56" s="51">
        <v>1.47</v>
      </c>
    </row>
    <row r="57" spans="1:3" x14ac:dyDescent="0.25">
      <c r="A57" s="100"/>
      <c r="B57" s="88" t="s">
        <v>103</v>
      </c>
      <c r="C57" s="51">
        <v>60</v>
      </c>
    </row>
    <row r="58" spans="1:3" x14ac:dyDescent="0.25">
      <c r="A58" s="100"/>
      <c r="B58" s="88" t="s">
        <v>104</v>
      </c>
      <c r="C58" s="51">
        <v>6.41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18.28</v>
      </c>
    </row>
    <row r="60" spans="1:3" x14ac:dyDescent="0.25">
      <c r="A60" s="100"/>
      <c r="B60" s="82" t="s">
        <v>58</v>
      </c>
      <c r="C60" s="51">
        <v>12.78</v>
      </c>
    </row>
    <row r="61" spans="1:3" x14ac:dyDescent="0.25">
      <c r="A61" s="100"/>
      <c r="B61" s="82" t="s">
        <v>59</v>
      </c>
      <c r="C61" s="51">
        <v>5.5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633.08999999999992</v>
      </c>
    </row>
    <row r="63" spans="1:3" x14ac:dyDescent="0.25">
      <c r="A63" s="100">
        <v>11</v>
      </c>
      <c r="B63" s="76" t="s">
        <v>61</v>
      </c>
      <c r="C63" s="51">
        <v>138.66</v>
      </c>
    </row>
    <row r="64" spans="1:3" x14ac:dyDescent="0.25">
      <c r="A64" s="100">
        <v>12</v>
      </c>
      <c r="B64" s="108" t="s">
        <v>62</v>
      </c>
      <c r="C64" s="51">
        <v>366.97</v>
      </c>
    </row>
    <row r="65" spans="1:3" x14ac:dyDescent="0.25">
      <c r="A65" s="100">
        <v>13</v>
      </c>
      <c r="B65" s="108" t="s">
        <v>46</v>
      </c>
      <c r="C65" s="51">
        <v>86.44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5.98</v>
      </c>
    </row>
    <row r="67" spans="1:3" x14ac:dyDescent="0.25">
      <c r="A67" s="109"/>
      <c r="B67" s="106" t="s">
        <v>99</v>
      </c>
      <c r="C67" s="51">
        <v>11.77</v>
      </c>
    </row>
    <row r="68" spans="1:3" x14ac:dyDescent="0.25">
      <c r="A68" s="100"/>
      <c r="B68" s="108" t="s">
        <v>64</v>
      </c>
      <c r="C68" s="51">
        <v>5.98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35.040000000000006</v>
      </c>
    </row>
    <row r="70" spans="1:3" x14ac:dyDescent="0.25">
      <c r="A70" s="100"/>
      <c r="B70" s="82" t="s">
        <v>66</v>
      </c>
      <c r="C70" s="51">
        <v>0.5</v>
      </c>
    </row>
    <row r="71" spans="1:3" x14ac:dyDescent="0.25">
      <c r="A71" s="100"/>
      <c r="B71" s="82" t="s">
        <v>67</v>
      </c>
      <c r="C71" s="51">
        <v>9.65</v>
      </c>
    </row>
    <row r="72" spans="1:3" x14ac:dyDescent="0.25">
      <c r="A72" s="100"/>
      <c r="B72" s="82" t="s">
        <v>68</v>
      </c>
      <c r="C72" s="51">
        <v>4.79</v>
      </c>
    </row>
    <row r="73" spans="1:3" x14ac:dyDescent="0.25">
      <c r="A73" s="112"/>
      <c r="B73" s="82" t="s">
        <v>69</v>
      </c>
      <c r="C73" s="51">
        <v>3.98</v>
      </c>
    </row>
    <row r="74" spans="1:3" x14ac:dyDescent="0.25">
      <c r="A74" s="112"/>
      <c r="B74" s="82" t="s">
        <v>70</v>
      </c>
      <c r="C74" s="87">
        <v>0.5</v>
      </c>
    </row>
    <row r="75" spans="1:3" x14ac:dyDescent="0.25">
      <c r="A75" s="112"/>
      <c r="B75" s="82" t="s">
        <v>71</v>
      </c>
      <c r="C75" s="87">
        <v>1.34</v>
      </c>
    </row>
    <row r="76" spans="1:3" x14ac:dyDescent="0.25">
      <c r="A76" s="112"/>
      <c r="B76" s="82" t="s">
        <v>72</v>
      </c>
      <c r="C76" s="87">
        <v>0.69</v>
      </c>
    </row>
    <row r="77" spans="1:3" x14ac:dyDescent="0.25">
      <c r="A77" s="100"/>
      <c r="B77" s="82" t="s">
        <v>98</v>
      </c>
      <c r="C77" s="51">
        <v>6.64</v>
      </c>
    </row>
    <row r="78" spans="1:3" x14ac:dyDescent="0.25">
      <c r="A78" s="100"/>
      <c r="B78" s="82" t="s">
        <v>73</v>
      </c>
      <c r="C78" s="51">
        <v>0.26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6.05</v>
      </c>
    </row>
    <row r="81" spans="1:3" x14ac:dyDescent="0.25">
      <c r="A81" s="114"/>
      <c r="B81" s="82" t="s">
        <v>75</v>
      </c>
      <c r="C81" s="51">
        <v>93.86</v>
      </c>
    </row>
    <row r="82" spans="1:3" x14ac:dyDescent="0.25">
      <c r="A82" s="114"/>
      <c r="B82" s="108" t="s">
        <v>76</v>
      </c>
      <c r="C82" s="51">
        <v>0.61</v>
      </c>
    </row>
    <row r="83" spans="1:3" x14ac:dyDescent="0.25">
      <c r="A83" s="115">
        <v>18</v>
      </c>
      <c r="B83" s="102" t="s">
        <v>77</v>
      </c>
      <c r="C83" s="51">
        <v>48.1</v>
      </c>
    </row>
    <row r="84" spans="1:3" ht="18" x14ac:dyDescent="0.25">
      <c r="A84" s="116">
        <v>19</v>
      </c>
      <c r="B84" s="79" t="s">
        <v>30</v>
      </c>
      <c r="C84" s="117">
        <v>203.49</v>
      </c>
    </row>
    <row r="85" spans="1:3" ht="18" x14ac:dyDescent="0.25">
      <c r="A85" s="118"/>
      <c r="B85" s="119" t="s">
        <v>105</v>
      </c>
      <c r="C85" s="120">
        <f t="shared" ref="C85" si="13">C22-C34</f>
        <v>61.482000000000426</v>
      </c>
    </row>
    <row r="86" spans="1:3" ht="31.5" x14ac:dyDescent="0.25">
      <c r="A86" s="60"/>
      <c r="B86" s="61" t="s">
        <v>92</v>
      </c>
      <c r="C86" s="80">
        <v>537.51</v>
      </c>
    </row>
    <row r="87" spans="1:3" x14ac:dyDescent="0.25">
      <c r="C87" s="86"/>
    </row>
  </sheetData>
  <pageMargins left="0.44" right="0.24" top="0.32" bottom="0.2" header="0.3" footer="0.2"/>
  <pageSetup paperSize="9" scale="53" orientation="portrait" verticalDpi="300" r:id="rId1"/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D13" sqref="D13"/>
    </sheetView>
  </sheetViews>
  <sheetFormatPr defaultRowHeight="15.75" x14ac:dyDescent="0.25"/>
  <cols>
    <col min="1" max="1" width="6.85546875" style="52" customWidth="1"/>
    <col min="2" max="2" width="70.42578125" style="55" customWidth="1"/>
    <col min="3" max="3" width="26.8554687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11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12.28</v>
      </c>
    </row>
    <row r="6" spans="1:3" ht="31.5" x14ac:dyDescent="0.25">
      <c r="A6" s="67"/>
      <c r="B6" s="68" t="s">
        <v>89</v>
      </c>
      <c r="C6" s="70">
        <v>640.03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4121.9331157999995</v>
      </c>
    </row>
    <row r="8" spans="1:3" ht="20.25" x14ac:dyDescent="0.3">
      <c r="A8" s="72">
        <v>2</v>
      </c>
      <c r="B8" s="76" t="s">
        <v>29</v>
      </c>
      <c r="C8" s="78">
        <f>25.73*12.28*12</f>
        <v>3791.5727999999999</v>
      </c>
    </row>
    <row r="9" spans="1:3" ht="20.25" x14ac:dyDescent="0.3">
      <c r="A9" s="72">
        <v>3</v>
      </c>
      <c r="B9" s="79" t="s">
        <v>30</v>
      </c>
      <c r="C9" s="80">
        <v>268.12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62.240315799999998</v>
      </c>
    </row>
    <row r="11" spans="1:3" x14ac:dyDescent="0.25">
      <c r="A11" s="81"/>
      <c r="B11" s="82" t="s">
        <v>32</v>
      </c>
      <c r="C11" s="70">
        <f>0.01038*25.73*17</f>
        <v>4.5403158000000001</v>
      </c>
    </row>
    <row r="12" spans="1:3" x14ac:dyDescent="0.25">
      <c r="A12" s="81"/>
      <c r="B12" s="82" t="s">
        <v>33</v>
      </c>
      <c r="C12" s="70">
        <v>18.32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30.31</v>
      </c>
    </row>
    <row r="15" spans="1:3" x14ac:dyDescent="0.25">
      <c r="A15" s="81"/>
      <c r="B15" s="88" t="s">
        <v>36</v>
      </c>
      <c r="C15" s="70">
        <v>2.7</v>
      </c>
    </row>
    <row r="16" spans="1:3" x14ac:dyDescent="0.25">
      <c r="A16" s="81"/>
      <c r="B16" s="82" t="s">
        <v>37</v>
      </c>
      <c r="C16" s="70">
        <f>4.2+0.45</f>
        <v>4.6500000000000004</v>
      </c>
    </row>
    <row r="17" spans="1:3" x14ac:dyDescent="0.25">
      <c r="A17" s="89"/>
      <c r="B17" s="82" t="s">
        <v>95</v>
      </c>
      <c r="C17" s="70">
        <v>6.6</v>
      </c>
    </row>
    <row r="18" spans="1:3" x14ac:dyDescent="0.25">
      <c r="A18" s="90"/>
      <c r="B18" s="88" t="s">
        <v>38</v>
      </c>
      <c r="C18" s="70">
        <v>1.72</v>
      </c>
    </row>
    <row r="19" spans="1:3" x14ac:dyDescent="0.25">
      <c r="A19" s="90"/>
      <c r="B19" s="88" t="s">
        <v>101</v>
      </c>
      <c r="C19" s="70">
        <v>11.31</v>
      </c>
    </row>
    <row r="20" spans="1:3" x14ac:dyDescent="0.25">
      <c r="A20" s="90"/>
      <c r="B20" s="88" t="s">
        <v>102</v>
      </c>
      <c r="C20" s="70">
        <v>10.35</v>
      </c>
    </row>
    <row r="21" spans="1:3" ht="18.75" x14ac:dyDescent="0.25">
      <c r="A21" s="92"/>
      <c r="B21" s="93" t="s">
        <v>39</v>
      </c>
      <c r="C21" s="94">
        <f t="shared" ref="C21" si="2">C7/C22*100</f>
        <v>100.08692795152179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4118.3531158000005</v>
      </c>
    </row>
    <row r="23" spans="1:3" ht="20.25" x14ac:dyDescent="0.3">
      <c r="A23" s="72">
        <v>2</v>
      </c>
      <c r="B23" s="76" t="s">
        <v>29</v>
      </c>
      <c r="C23" s="78">
        <f>25.73*12.28*12</f>
        <v>3791.5727999999999</v>
      </c>
    </row>
    <row r="24" spans="1:3" ht="20.25" x14ac:dyDescent="0.3">
      <c r="A24" s="72">
        <v>3</v>
      </c>
      <c r="B24" s="79" t="s">
        <v>30</v>
      </c>
      <c r="C24" s="80">
        <v>268.82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57.960315800000004</v>
      </c>
    </row>
    <row r="26" spans="1:3" x14ac:dyDescent="0.25">
      <c r="A26" s="81"/>
      <c r="B26" s="82" t="s">
        <v>32</v>
      </c>
      <c r="C26" s="70">
        <f>0.01038*25.73*17</f>
        <v>4.5403158000000001</v>
      </c>
    </row>
    <row r="27" spans="1:3" x14ac:dyDescent="0.25">
      <c r="A27" s="81"/>
      <c r="B27" s="82" t="s">
        <v>33</v>
      </c>
      <c r="C27" s="70">
        <v>18.32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26.82</v>
      </c>
    </row>
    <row r="30" spans="1:3" x14ac:dyDescent="0.25">
      <c r="A30" s="81"/>
      <c r="B30" s="88" t="s">
        <v>36</v>
      </c>
      <c r="C30" s="70">
        <v>2.36</v>
      </c>
    </row>
    <row r="31" spans="1:3" x14ac:dyDescent="0.25">
      <c r="A31" s="81"/>
      <c r="B31" s="82" t="s">
        <v>37</v>
      </c>
      <c r="C31" s="70">
        <f>4.2</f>
        <v>4.2</v>
      </c>
    </row>
    <row r="32" spans="1:3" x14ac:dyDescent="0.25">
      <c r="A32" s="90"/>
      <c r="B32" s="88" t="s">
        <v>38</v>
      </c>
      <c r="C32" s="70">
        <v>1.72</v>
      </c>
    </row>
    <row r="33" spans="1:3" x14ac:dyDescent="0.25">
      <c r="A33" s="90"/>
      <c r="B33" s="82" t="s">
        <v>95</v>
      </c>
      <c r="C33" s="70">
        <v>2.48</v>
      </c>
    </row>
    <row r="34" spans="1:3" x14ac:dyDescent="0.25">
      <c r="A34" s="98"/>
      <c r="B34" s="99" t="s">
        <v>41</v>
      </c>
      <c r="C34" s="80">
        <f t="shared" ref="C34" si="5">C35+C62+C81+C83+C84</f>
        <v>3359.5030000000006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2209.6330000000003</v>
      </c>
    </row>
    <row r="36" spans="1:3" x14ac:dyDescent="0.25">
      <c r="A36" s="100">
        <v>2</v>
      </c>
      <c r="B36" s="76" t="s">
        <v>43</v>
      </c>
      <c r="C36" s="51">
        <v>693.38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1027.7</v>
      </c>
    </row>
    <row r="39" spans="1:3" x14ac:dyDescent="0.25">
      <c r="A39" s="100">
        <v>5</v>
      </c>
      <c r="B39" s="102" t="s">
        <v>46</v>
      </c>
      <c r="C39" s="51">
        <v>247.21</v>
      </c>
    </row>
    <row r="40" spans="1:3" ht="31.5" x14ac:dyDescent="0.25">
      <c r="A40" s="100">
        <v>6</v>
      </c>
      <c r="B40" s="102" t="s">
        <v>47</v>
      </c>
      <c r="C40" s="51">
        <v>42.43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118.81299999999999</v>
      </c>
    </row>
    <row r="42" spans="1:3" x14ac:dyDescent="0.25">
      <c r="A42" s="100"/>
      <c r="B42" s="88" t="s">
        <v>49</v>
      </c>
      <c r="C42" s="51">
        <f>28.1+25.228+15.725+10.32-35</f>
        <v>44.37299999999999</v>
      </c>
    </row>
    <row r="43" spans="1:3" x14ac:dyDescent="0.25">
      <c r="A43" s="100"/>
      <c r="B43" s="88" t="s">
        <v>91</v>
      </c>
      <c r="C43" s="51">
        <v>20.8</v>
      </c>
    </row>
    <row r="44" spans="1:3" x14ac:dyDescent="0.25">
      <c r="A44" s="81"/>
      <c r="B44" s="88" t="s">
        <v>78</v>
      </c>
      <c r="C44" s="51">
        <v>53.64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58.28</v>
      </c>
    </row>
    <row r="49" spans="1:3" x14ac:dyDescent="0.25">
      <c r="A49" s="100"/>
      <c r="B49" s="106" t="s">
        <v>52</v>
      </c>
      <c r="C49" s="51">
        <v>16.489999999999998</v>
      </c>
    </row>
    <row r="50" spans="1:3" x14ac:dyDescent="0.25">
      <c r="A50" s="100"/>
      <c r="B50" s="106" t="s">
        <v>53</v>
      </c>
      <c r="C50" s="51">
        <v>4.8600000000000003</v>
      </c>
    </row>
    <row r="51" spans="1:3" x14ac:dyDescent="0.25">
      <c r="A51" s="100"/>
      <c r="B51" s="106" t="s">
        <v>54</v>
      </c>
      <c r="C51" s="51">
        <v>8.6199999999999992</v>
      </c>
    </row>
    <row r="52" spans="1:3" x14ac:dyDescent="0.25">
      <c r="A52" s="100"/>
      <c r="B52" s="106" t="s">
        <v>55</v>
      </c>
      <c r="C52" s="51">
        <v>11.7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3.81</v>
      </c>
    </row>
    <row r="55" spans="1:3" x14ac:dyDescent="0.25">
      <c r="A55" s="100"/>
      <c r="B55" s="88" t="s">
        <v>96</v>
      </c>
      <c r="C55" s="51">
        <v>11.07</v>
      </c>
    </row>
    <row r="56" spans="1:3" x14ac:dyDescent="0.25">
      <c r="A56" s="100"/>
      <c r="B56" s="88" t="s">
        <v>97</v>
      </c>
      <c r="C56" s="51">
        <v>1.73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7.53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21.82</v>
      </c>
    </row>
    <row r="60" spans="1:3" x14ac:dyDescent="0.25">
      <c r="A60" s="100"/>
      <c r="B60" s="82" t="s">
        <v>58</v>
      </c>
      <c r="C60" s="51">
        <v>15.02</v>
      </c>
    </row>
    <row r="61" spans="1:3" x14ac:dyDescent="0.25">
      <c r="A61" s="100"/>
      <c r="B61" s="82" t="s">
        <v>59</v>
      </c>
      <c r="C61" s="51">
        <v>6.8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743.95</v>
      </c>
    </row>
    <row r="63" spans="1:3" x14ac:dyDescent="0.25">
      <c r="A63" s="100">
        <v>11</v>
      </c>
      <c r="B63" s="76" t="s">
        <v>61</v>
      </c>
      <c r="C63" s="51">
        <v>162.94</v>
      </c>
    </row>
    <row r="64" spans="1:3" x14ac:dyDescent="0.25">
      <c r="A64" s="100">
        <v>12</v>
      </c>
      <c r="B64" s="108" t="s">
        <v>62</v>
      </c>
      <c r="C64" s="51">
        <v>431.23</v>
      </c>
    </row>
    <row r="65" spans="1:3" x14ac:dyDescent="0.25">
      <c r="A65" s="100">
        <v>13</v>
      </c>
      <c r="B65" s="108" t="s">
        <v>46</v>
      </c>
      <c r="C65" s="51">
        <v>101.58</v>
      </c>
    </row>
    <row r="66" spans="1:3" x14ac:dyDescent="0.25">
      <c r="A66" s="100">
        <v>14</v>
      </c>
      <c r="B66" s="103" t="s">
        <v>63</v>
      </c>
      <c r="C66" s="80">
        <f t="shared" ref="C66" si="11">C68</f>
        <v>7.03</v>
      </c>
    </row>
    <row r="67" spans="1:3" x14ac:dyDescent="0.25">
      <c r="A67" s="109"/>
      <c r="B67" s="106" t="s">
        <v>99</v>
      </c>
      <c r="C67" s="51">
        <v>13.83</v>
      </c>
    </row>
    <row r="68" spans="1:3" x14ac:dyDescent="0.25">
      <c r="A68" s="100"/>
      <c r="B68" s="108" t="s">
        <v>64</v>
      </c>
      <c r="C68" s="51">
        <v>7.03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41.169999999999995</v>
      </c>
    </row>
    <row r="70" spans="1:3" x14ac:dyDescent="0.25">
      <c r="A70" s="100"/>
      <c r="B70" s="82" t="s">
        <v>66</v>
      </c>
      <c r="C70" s="51">
        <v>0.57999999999999996</v>
      </c>
    </row>
    <row r="71" spans="1:3" x14ac:dyDescent="0.25">
      <c r="A71" s="100"/>
      <c r="B71" s="82" t="s">
        <v>67</v>
      </c>
      <c r="C71" s="51">
        <v>11.34</v>
      </c>
    </row>
    <row r="72" spans="1:3" x14ac:dyDescent="0.25">
      <c r="A72" s="100"/>
      <c r="B72" s="82" t="s">
        <v>68</v>
      </c>
      <c r="C72" s="51">
        <v>5.63</v>
      </c>
    </row>
    <row r="73" spans="1:3" x14ac:dyDescent="0.25">
      <c r="A73" s="112"/>
      <c r="B73" s="82" t="s">
        <v>69</v>
      </c>
      <c r="C73" s="51">
        <v>4.68</v>
      </c>
    </row>
    <row r="74" spans="1:3" x14ac:dyDescent="0.25">
      <c r="A74" s="112"/>
      <c r="B74" s="82" t="s">
        <v>70</v>
      </c>
      <c r="C74" s="87">
        <v>0.57999999999999996</v>
      </c>
    </row>
    <row r="75" spans="1:3" x14ac:dyDescent="0.25">
      <c r="A75" s="112"/>
      <c r="B75" s="82" t="s">
        <v>71</v>
      </c>
      <c r="C75" s="87">
        <v>1.58</v>
      </c>
    </row>
    <row r="76" spans="1:3" x14ac:dyDescent="0.25">
      <c r="A76" s="112"/>
      <c r="B76" s="82" t="s">
        <v>72</v>
      </c>
      <c r="C76" s="87">
        <v>0.81</v>
      </c>
    </row>
    <row r="77" spans="1:3" x14ac:dyDescent="0.25">
      <c r="A77" s="100"/>
      <c r="B77" s="82" t="s">
        <v>98</v>
      </c>
      <c r="C77" s="51">
        <v>7.8</v>
      </c>
    </row>
    <row r="78" spans="1:3" x14ac:dyDescent="0.25">
      <c r="A78" s="100"/>
      <c r="B78" s="82" t="s">
        <v>73</v>
      </c>
      <c r="C78" s="51">
        <v>0.3</v>
      </c>
    </row>
    <row r="79" spans="1:3" x14ac:dyDescent="0.25">
      <c r="A79" s="100"/>
      <c r="B79" s="82" t="s">
        <v>100</v>
      </c>
      <c r="C79" s="51">
        <v>0.04</v>
      </c>
    </row>
    <row r="80" spans="1:3" x14ac:dyDescent="0.25">
      <c r="A80" s="113"/>
      <c r="B80" s="82" t="s">
        <v>74</v>
      </c>
      <c r="C80" s="51">
        <v>7.11</v>
      </c>
    </row>
    <row r="81" spans="1:3" x14ac:dyDescent="0.25">
      <c r="A81" s="114"/>
      <c r="B81" s="82" t="s">
        <v>75</v>
      </c>
      <c r="C81" s="51">
        <v>110.3</v>
      </c>
    </row>
    <row r="82" spans="1:3" x14ac:dyDescent="0.25">
      <c r="A82" s="114"/>
      <c r="B82" s="108" t="s">
        <v>76</v>
      </c>
      <c r="C82" s="51">
        <v>0.72</v>
      </c>
    </row>
    <row r="83" spans="1:3" x14ac:dyDescent="0.25">
      <c r="A83" s="115">
        <v>18</v>
      </c>
      <c r="B83" s="102" t="s">
        <v>77</v>
      </c>
      <c r="C83" s="51">
        <v>56.5</v>
      </c>
    </row>
    <row r="84" spans="1:3" ht="18" x14ac:dyDescent="0.25">
      <c r="A84" s="116">
        <v>19</v>
      </c>
      <c r="B84" s="79" t="s">
        <v>30</v>
      </c>
      <c r="C84" s="117">
        <v>239.12</v>
      </c>
    </row>
    <row r="85" spans="1:3" ht="29.25" x14ac:dyDescent="0.25">
      <c r="A85" s="118"/>
      <c r="B85" s="119" t="s">
        <v>105</v>
      </c>
      <c r="C85" s="120">
        <f t="shared" ref="C85" si="13">C22-C34</f>
        <v>758.85011579999991</v>
      </c>
    </row>
    <row r="86" spans="1:3" ht="31.5" x14ac:dyDescent="0.25">
      <c r="A86" s="60"/>
      <c r="B86" s="61" t="s">
        <v>92</v>
      </c>
      <c r="C86" s="80">
        <v>602.71</v>
      </c>
    </row>
    <row r="87" spans="1:3" x14ac:dyDescent="0.25">
      <c r="C87" s="86"/>
    </row>
  </sheetData>
  <pageMargins left="0.7" right="0.24" top="0.32" bottom="0.22" header="0.3" footer="0.3"/>
  <pageSetup paperSize="9" scale="49" orientation="portrait" verticalDpi="300" r:id="rId1"/>
  <rowBreaks count="1" manualBreakCount="1">
    <brk id="7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55" zoomScale="60" zoomScaleNormal="100" workbookViewId="0">
      <selection activeCell="O27" sqref="O27"/>
    </sheetView>
  </sheetViews>
  <sheetFormatPr defaultRowHeight="15.75" x14ac:dyDescent="0.25"/>
  <cols>
    <col min="1" max="1" width="6.85546875" style="52" customWidth="1"/>
    <col min="2" max="2" width="63" style="55" customWidth="1"/>
    <col min="3" max="3" width="38.7109375" style="55" customWidth="1"/>
  </cols>
  <sheetData>
    <row r="1" spans="1:3" ht="31.5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12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10.28</v>
      </c>
    </row>
    <row r="6" spans="1:3" ht="31.5" x14ac:dyDescent="0.25">
      <c r="A6" s="67"/>
      <c r="B6" s="68" t="s">
        <v>89</v>
      </c>
      <c r="C6" s="70">
        <v>472.19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3679.9134233999994</v>
      </c>
    </row>
    <row r="8" spans="1:3" ht="20.25" x14ac:dyDescent="0.3">
      <c r="A8" s="72">
        <v>2</v>
      </c>
      <c r="B8" s="76" t="s">
        <v>29</v>
      </c>
      <c r="C8" s="78">
        <f>25.73*10.28*12</f>
        <v>3174.0527999999995</v>
      </c>
    </row>
    <row r="9" spans="1:3" ht="31.5" x14ac:dyDescent="0.3">
      <c r="A9" s="72">
        <v>3</v>
      </c>
      <c r="B9" s="79" t="s">
        <v>30</v>
      </c>
      <c r="C9" s="80">
        <v>224.45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281.41062340000002</v>
      </c>
    </row>
    <row r="11" spans="1:3" x14ac:dyDescent="0.25">
      <c r="A11" s="81"/>
      <c r="B11" s="82" t="s">
        <v>32</v>
      </c>
      <c r="C11" s="70">
        <f>0.53474*25.73*17</f>
        <v>233.90062340000003</v>
      </c>
    </row>
    <row r="12" spans="1:3" x14ac:dyDescent="0.25">
      <c r="A12" s="81"/>
      <c r="B12" s="82" t="s">
        <v>33</v>
      </c>
      <c r="C12" s="70">
        <v>15.34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25.39</v>
      </c>
    </row>
    <row r="15" spans="1:3" x14ac:dyDescent="0.25">
      <c r="A15" s="81"/>
      <c r="B15" s="88" t="s">
        <v>36</v>
      </c>
      <c r="C15" s="70">
        <v>2.38</v>
      </c>
    </row>
    <row r="16" spans="1:3" x14ac:dyDescent="0.25">
      <c r="A16" s="81"/>
      <c r="B16" s="82" t="s">
        <v>37</v>
      </c>
      <c r="C16" s="70">
        <f>3.6+0.8</f>
        <v>4.4000000000000004</v>
      </c>
    </row>
    <row r="17" spans="1:3" x14ac:dyDescent="0.25">
      <c r="A17" s="89"/>
      <c r="B17" s="82" t="s">
        <v>95</v>
      </c>
      <c r="C17" s="70">
        <v>5.5</v>
      </c>
    </row>
    <row r="18" spans="1:3" x14ac:dyDescent="0.25">
      <c r="A18" s="90"/>
      <c r="B18" s="88" t="s">
        <v>38</v>
      </c>
      <c r="C18" s="70"/>
    </row>
    <row r="19" spans="1:3" x14ac:dyDescent="0.25">
      <c r="A19" s="90"/>
      <c r="B19" s="88" t="s">
        <v>101</v>
      </c>
      <c r="C19" s="70">
        <v>9.4600000000000009</v>
      </c>
    </row>
    <row r="20" spans="1:3" x14ac:dyDescent="0.25">
      <c r="A20" s="90"/>
      <c r="B20" s="88" t="s">
        <v>102</v>
      </c>
      <c r="C20" s="70">
        <v>8.4499999999999993</v>
      </c>
    </row>
    <row r="21" spans="1:3" ht="18.75" x14ac:dyDescent="0.25">
      <c r="A21" s="92"/>
      <c r="B21" s="93" t="s">
        <v>39</v>
      </c>
      <c r="C21" s="94">
        <f t="shared" ref="C21" si="2">C7/C22*100</f>
        <v>100.09656281469357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3676.3634233999996</v>
      </c>
    </row>
    <row r="23" spans="1:3" ht="20.25" x14ac:dyDescent="0.3">
      <c r="A23" s="72">
        <v>2</v>
      </c>
      <c r="B23" s="76" t="s">
        <v>29</v>
      </c>
      <c r="C23" s="78">
        <f>25.73*10.28*12</f>
        <v>3174.0527999999995</v>
      </c>
    </row>
    <row r="24" spans="1:3" ht="31.5" x14ac:dyDescent="0.3">
      <c r="A24" s="72">
        <v>3</v>
      </c>
      <c r="B24" s="79" t="s">
        <v>30</v>
      </c>
      <c r="C24" s="80">
        <v>225.04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277.27062340000009</v>
      </c>
    </row>
    <row r="26" spans="1:3" x14ac:dyDescent="0.25">
      <c r="A26" s="81"/>
      <c r="B26" s="82" t="s">
        <v>32</v>
      </c>
      <c r="C26" s="70">
        <f>0.53474*25.73*17</f>
        <v>233.90062340000003</v>
      </c>
    </row>
    <row r="27" spans="1:3" x14ac:dyDescent="0.25">
      <c r="A27" s="81"/>
      <c r="B27" s="82" t="s">
        <v>33</v>
      </c>
      <c r="C27" s="70">
        <v>15.34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22.45</v>
      </c>
    </row>
    <row r="30" spans="1:3" x14ac:dyDescent="0.25">
      <c r="A30" s="81"/>
      <c r="B30" s="88" t="s">
        <v>36</v>
      </c>
      <c r="C30" s="70">
        <v>1.98</v>
      </c>
    </row>
    <row r="31" spans="1:3" x14ac:dyDescent="0.25">
      <c r="A31" s="81"/>
      <c r="B31" s="82" t="s">
        <v>37</v>
      </c>
      <c r="C31" s="70">
        <f>3.6</f>
        <v>3.6</v>
      </c>
    </row>
    <row r="32" spans="1:3" ht="42.75" customHeight="1" x14ac:dyDescent="0.25">
      <c r="A32" s="90"/>
      <c r="B32" s="88" t="s">
        <v>38</v>
      </c>
      <c r="C32" s="70"/>
    </row>
    <row r="33" spans="1:3" x14ac:dyDescent="0.25">
      <c r="A33" s="90"/>
      <c r="B33" s="82" t="s">
        <v>95</v>
      </c>
      <c r="C33" s="70">
        <v>2.08</v>
      </c>
    </row>
    <row r="34" spans="1:3" x14ac:dyDescent="0.25">
      <c r="A34" s="98"/>
      <c r="B34" s="99" t="s">
        <v>41</v>
      </c>
      <c r="C34" s="80">
        <f t="shared" ref="C34" si="5">C35+C62+C81+C83+C84</f>
        <v>3005.0260000000003</v>
      </c>
    </row>
    <row r="35" spans="1:3" ht="26.25" customHeight="1" x14ac:dyDescent="0.25">
      <c r="A35" s="100">
        <v>1</v>
      </c>
      <c r="B35" s="101" t="s">
        <v>42</v>
      </c>
      <c r="C35" s="80">
        <f t="shared" ref="C35" si="6">C36+C38+C39+C40+C41+C48+C59</f>
        <v>2042.4260000000002</v>
      </c>
    </row>
    <row r="36" spans="1:3" x14ac:dyDescent="0.25">
      <c r="A36" s="100">
        <v>2</v>
      </c>
      <c r="B36" s="76" t="s">
        <v>43</v>
      </c>
      <c r="C36" s="51">
        <v>580.45000000000005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860.33</v>
      </c>
    </row>
    <row r="39" spans="1:3" x14ac:dyDescent="0.25">
      <c r="A39" s="100">
        <v>5</v>
      </c>
      <c r="B39" s="102" t="s">
        <v>46</v>
      </c>
      <c r="C39" s="51">
        <v>216.95</v>
      </c>
    </row>
    <row r="40" spans="1:3" ht="31.5" x14ac:dyDescent="0.25">
      <c r="A40" s="100">
        <v>6</v>
      </c>
      <c r="B40" s="102" t="s">
        <v>47</v>
      </c>
      <c r="C40" s="51">
        <v>35.520000000000003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282.31599999999997</v>
      </c>
    </row>
    <row r="42" spans="1:3" x14ac:dyDescent="0.25">
      <c r="A42" s="100"/>
      <c r="B42" s="88" t="s">
        <v>49</v>
      </c>
      <c r="C42" s="51">
        <f>24.396-5</f>
        <v>19.396000000000001</v>
      </c>
    </row>
    <row r="43" spans="1:3" x14ac:dyDescent="0.25">
      <c r="A43" s="100"/>
      <c r="B43" s="88" t="s">
        <v>91</v>
      </c>
      <c r="C43" s="51">
        <f>166.43+31.59+20</f>
        <v>218.02</v>
      </c>
    </row>
    <row r="44" spans="1:3" x14ac:dyDescent="0.25">
      <c r="A44" s="81"/>
      <c r="B44" s="88" t="s">
        <v>78</v>
      </c>
      <c r="C44" s="51">
        <v>44.9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48.78</v>
      </c>
    </row>
    <row r="49" spans="1:3" x14ac:dyDescent="0.25">
      <c r="A49" s="100"/>
      <c r="B49" s="106" t="s">
        <v>52</v>
      </c>
      <c r="C49" s="51">
        <v>13.81</v>
      </c>
    </row>
    <row r="50" spans="1:3" x14ac:dyDescent="0.25">
      <c r="A50" s="100"/>
      <c r="B50" s="106" t="s">
        <v>53</v>
      </c>
      <c r="C50" s="51">
        <v>4.07</v>
      </c>
    </row>
    <row r="51" spans="1:3" x14ac:dyDescent="0.25">
      <c r="A51" s="100"/>
      <c r="B51" s="106" t="s">
        <v>54</v>
      </c>
      <c r="C51" s="51">
        <v>7.21</v>
      </c>
    </row>
    <row r="52" spans="1:3" x14ac:dyDescent="0.25">
      <c r="A52" s="100"/>
      <c r="B52" s="106" t="s">
        <v>55</v>
      </c>
      <c r="C52" s="51">
        <v>9.7899999999999991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3.19</v>
      </c>
    </row>
    <row r="55" spans="1:3" x14ac:dyDescent="0.25">
      <c r="A55" s="100"/>
      <c r="B55" s="88" t="s">
        <v>96</v>
      </c>
      <c r="C55" s="51">
        <v>9.26</v>
      </c>
    </row>
    <row r="56" spans="1:3" x14ac:dyDescent="0.25">
      <c r="A56" s="100"/>
      <c r="B56" s="88" t="s">
        <v>97</v>
      </c>
      <c r="C56" s="51">
        <v>1.45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6.3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18.079999999999998</v>
      </c>
    </row>
    <row r="60" spans="1:3" x14ac:dyDescent="0.25">
      <c r="A60" s="100"/>
      <c r="B60" s="82" t="s">
        <v>58</v>
      </c>
      <c r="C60" s="51">
        <v>12.58</v>
      </c>
    </row>
    <row r="61" spans="1:3" x14ac:dyDescent="0.25">
      <c r="A61" s="100"/>
      <c r="B61" s="82" t="s">
        <v>59</v>
      </c>
      <c r="C61" s="51">
        <v>5.5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622.78</v>
      </c>
    </row>
    <row r="63" spans="1:3" x14ac:dyDescent="0.25">
      <c r="A63" s="100">
        <v>11</v>
      </c>
      <c r="B63" s="76" t="s">
        <v>61</v>
      </c>
      <c r="C63" s="51">
        <v>136.4</v>
      </c>
    </row>
    <row r="64" spans="1:3" x14ac:dyDescent="0.25">
      <c r="A64" s="100">
        <v>12</v>
      </c>
      <c r="B64" s="108" t="s">
        <v>62</v>
      </c>
      <c r="C64" s="51">
        <v>361</v>
      </c>
    </row>
    <row r="65" spans="1:3" x14ac:dyDescent="0.25">
      <c r="A65" s="100">
        <v>13</v>
      </c>
      <c r="B65" s="108" t="s">
        <v>46</v>
      </c>
      <c r="C65" s="51">
        <v>85.03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5.89</v>
      </c>
    </row>
    <row r="67" spans="1:3" x14ac:dyDescent="0.25">
      <c r="A67" s="109"/>
      <c r="B67" s="106" t="s">
        <v>99</v>
      </c>
      <c r="C67" s="51">
        <v>11.57</v>
      </c>
    </row>
    <row r="68" spans="1:3" x14ac:dyDescent="0.25">
      <c r="A68" s="100"/>
      <c r="B68" s="108" t="s">
        <v>64</v>
      </c>
      <c r="C68" s="51">
        <v>5.89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34.460000000000008</v>
      </c>
    </row>
    <row r="70" spans="1:3" x14ac:dyDescent="0.25">
      <c r="A70" s="100"/>
      <c r="B70" s="82" t="s">
        <v>66</v>
      </c>
      <c r="C70" s="51">
        <v>0.49</v>
      </c>
    </row>
    <row r="71" spans="1:3" x14ac:dyDescent="0.25">
      <c r="A71" s="100"/>
      <c r="B71" s="82" t="s">
        <v>67</v>
      </c>
      <c r="C71" s="51">
        <v>9.49</v>
      </c>
    </row>
    <row r="72" spans="1:3" x14ac:dyDescent="0.25">
      <c r="A72" s="100"/>
      <c r="B72" s="82" t="s">
        <v>68</v>
      </c>
      <c r="C72" s="51">
        <v>4.71</v>
      </c>
    </row>
    <row r="73" spans="1:3" ht="30" x14ac:dyDescent="0.25">
      <c r="A73" s="112"/>
      <c r="B73" s="82" t="s">
        <v>69</v>
      </c>
      <c r="C73" s="51">
        <v>3.91</v>
      </c>
    </row>
    <row r="74" spans="1:3" x14ac:dyDescent="0.25">
      <c r="A74" s="112"/>
      <c r="B74" s="82" t="s">
        <v>70</v>
      </c>
      <c r="C74" s="87">
        <v>0.49</v>
      </c>
    </row>
    <row r="75" spans="1:3" x14ac:dyDescent="0.25">
      <c r="A75" s="112"/>
      <c r="B75" s="82" t="s">
        <v>71</v>
      </c>
      <c r="C75" s="87">
        <v>1.32</v>
      </c>
    </row>
    <row r="76" spans="1:3" x14ac:dyDescent="0.25">
      <c r="A76" s="112"/>
      <c r="B76" s="82" t="s">
        <v>72</v>
      </c>
      <c r="C76" s="87">
        <v>0.68</v>
      </c>
    </row>
    <row r="77" spans="1:3" x14ac:dyDescent="0.25">
      <c r="A77" s="100"/>
      <c r="B77" s="82" t="s">
        <v>98</v>
      </c>
      <c r="C77" s="51">
        <v>6.53</v>
      </c>
    </row>
    <row r="78" spans="1:3" x14ac:dyDescent="0.25">
      <c r="A78" s="100"/>
      <c r="B78" s="82" t="s">
        <v>73</v>
      </c>
      <c r="C78" s="51">
        <v>0.26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5.95</v>
      </c>
    </row>
    <row r="81" spans="1:3" x14ac:dyDescent="0.25">
      <c r="A81" s="114"/>
      <c r="B81" s="82" t="s">
        <v>75</v>
      </c>
      <c r="C81" s="51">
        <v>92.34</v>
      </c>
    </row>
    <row r="82" spans="1:3" ht="30" x14ac:dyDescent="0.25">
      <c r="A82" s="114"/>
      <c r="B82" s="108" t="s">
        <v>76</v>
      </c>
      <c r="C82" s="51">
        <v>0.6</v>
      </c>
    </row>
    <row r="83" spans="1:3" x14ac:dyDescent="0.25">
      <c r="A83" s="115">
        <v>18</v>
      </c>
      <c r="B83" s="102" t="s">
        <v>77</v>
      </c>
      <c r="C83" s="51">
        <v>47.3</v>
      </c>
    </row>
    <row r="84" spans="1:3" ht="31.5" x14ac:dyDescent="0.25">
      <c r="A84" s="116">
        <v>19</v>
      </c>
      <c r="B84" s="79" t="s">
        <v>30</v>
      </c>
      <c r="C84" s="117">
        <v>200.18</v>
      </c>
    </row>
    <row r="85" spans="1:3" ht="29.25" x14ac:dyDescent="0.25">
      <c r="A85" s="118"/>
      <c r="B85" s="119" t="s">
        <v>105</v>
      </c>
      <c r="C85" s="120">
        <f t="shared" ref="C85" si="13">C22-C34</f>
        <v>671.33742339999935</v>
      </c>
    </row>
    <row r="86" spans="1:3" ht="31.5" x14ac:dyDescent="0.25">
      <c r="A86" s="60"/>
      <c r="B86" s="61" t="s">
        <v>92</v>
      </c>
      <c r="C86" s="80">
        <v>521.57000000000005</v>
      </c>
    </row>
    <row r="87" spans="1:3" x14ac:dyDescent="0.25">
      <c r="C87" s="86"/>
    </row>
  </sheetData>
  <pageMargins left="0.7" right="0.7" top="0.33" bottom="0.25" header="0.3" footer="0.3"/>
  <pageSetup paperSize="9" scale="49" orientation="portrait" verticalDpi="300" r:id="rId1"/>
  <rowBreaks count="1" manualBreakCount="1">
    <brk id="7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50" zoomScale="60" zoomScaleNormal="100" workbookViewId="0">
      <selection activeCell="M27" sqref="M27"/>
    </sheetView>
  </sheetViews>
  <sheetFormatPr defaultRowHeight="15.75" x14ac:dyDescent="0.25"/>
  <cols>
    <col min="1" max="1" width="6.85546875" style="52" customWidth="1"/>
    <col min="2" max="2" width="80.7109375" style="55" customWidth="1"/>
    <col min="3" max="3" width="42.7109375" style="55" customWidth="1"/>
  </cols>
  <sheetData>
    <row r="1" spans="1:3" ht="31.5" x14ac:dyDescent="0.25">
      <c r="B1" s="53" t="s">
        <v>87</v>
      </c>
      <c r="C1" s="56"/>
    </row>
    <row r="2" spans="1:3" x14ac:dyDescent="0.25">
      <c r="B2" s="121"/>
      <c r="C2" s="56"/>
    </row>
    <row r="3" spans="1:3" ht="31.5" x14ac:dyDescent="0.25">
      <c r="A3" s="60"/>
      <c r="B3" s="61"/>
      <c r="C3" s="61" t="s">
        <v>9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11.86</v>
      </c>
    </row>
    <row r="6" spans="1:3" ht="31.5" x14ac:dyDescent="0.25">
      <c r="A6" s="67"/>
      <c r="B6" s="68" t="s">
        <v>89</v>
      </c>
      <c r="C6" s="70">
        <v>421.41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3998.6998838</v>
      </c>
    </row>
    <row r="8" spans="1:3" ht="31.5" x14ac:dyDescent="0.3">
      <c r="A8" s="72">
        <v>2</v>
      </c>
      <c r="B8" s="76" t="s">
        <v>29</v>
      </c>
      <c r="C8" s="78">
        <f>25.73*11.86*12</f>
        <v>3661.8936000000003</v>
      </c>
    </row>
    <row r="9" spans="1:3" ht="31.5" x14ac:dyDescent="0.3">
      <c r="A9" s="72">
        <v>3</v>
      </c>
      <c r="B9" s="79" t="s">
        <v>30</v>
      </c>
      <c r="C9" s="80">
        <v>258.95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77.856283800000028</v>
      </c>
    </row>
    <row r="11" spans="1:3" ht="30" x14ac:dyDescent="0.25">
      <c r="A11" s="81"/>
      <c r="B11" s="82" t="s">
        <v>32</v>
      </c>
      <c r="C11" s="70">
        <f>0.05518*25.73*17</f>
        <v>24.136283800000001</v>
      </c>
    </row>
    <row r="12" spans="1:3" x14ac:dyDescent="0.25">
      <c r="A12" s="81"/>
      <c r="B12" s="82" t="s">
        <v>33</v>
      </c>
      <c r="C12" s="70">
        <v>17.7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29.29</v>
      </c>
    </row>
    <row r="15" spans="1:3" x14ac:dyDescent="0.25">
      <c r="A15" s="81"/>
      <c r="B15" s="88" t="s">
        <v>36</v>
      </c>
      <c r="C15" s="70">
        <v>1.18</v>
      </c>
    </row>
    <row r="16" spans="1:3" ht="30" x14ac:dyDescent="0.25">
      <c r="A16" s="81"/>
      <c r="B16" s="82" t="s">
        <v>37</v>
      </c>
      <c r="C16" s="70">
        <f>4.2+0.45</f>
        <v>4.6500000000000004</v>
      </c>
    </row>
    <row r="17" spans="1:3" x14ac:dyDescent="0.25">
      <c r="A17" s="89"/>
      <c r="B17" s="82" t="s">
        <v>95</v>
      </c>
      <c r="C17" s="70">
        <v>6.4</v>
      </c>
    </row>
    <row r="18" spans="1:3" x14ac:dyDescent="0.25">
      <c r="A18" s="90"/>
      <c r="B18" s="88" t="s">
        <v>38</v>
      </c>
      <c r="C18" s="70">
        <v>0.9</v>
      </c>
    </row>
    <row r="19" spans="1:3" x14ac:dyDescent="0.25">
      <c r="A19" s="90"/>
      <c r="B19" s="88" t="s">
        <v>101</v>
      </c>
      <c r="C19" s="70">
        <v>10.92</v>
      </c>
    </row>
    <row r="20" spans="1:3" x14ac:dyDescent="0.25">
      <c r="A20" s="90"/>
      <c r="B20" s="88" t="s">
        <v>102</v>
      </c>
      <c r="C20" s="70">
        <v>7.35</v>
      </c>
    </row>
    <row r="21" spans="1:3" ht="18.75" x14ac:dyDescent="0.25">
      <c r="A21" s="92"/>
      <c r="B21" s="93" t="s">
        <v>39</v>
      </c>
      <c r="C21" s="94">
        <f t="shared" ref="C21" si="2">C7/C22*100</f>
        <v>100.05154329786751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3996.6398838000005</v>
      </c>
    </row>
    <row r="23" spans="1:3" ht="31.5" x14ac:dyDescent="0.3">
      <c r="A23" s="72">
        <v>2</v>
      </c>
      <c r="B23" s="76" t="s">
        <v>29</v>
      </c>
      <c r="C23" s="78">
        <f>25.73*11.86*12</f>
        <v>3661.8936000000003</v>
      </c>
    </row>
    <row r="24" spans="1:3" ht="31.5" x14ac:dyDescent="0.3">
      <c r="A24" s="72">
        <v>3</v>
      </c>
      <c r="B24" s="79" t="s">
        <v>30</v>
      </c>
      <c r="C24" s="80">
        <v>259.63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75.116283800000005</v>
      </c>
    </row>
    <row r="26" spans="1:3" ht="30" x14ac:dyDescent="0.25">
      <c r="A26" s="81"/>
      <c r="B26" s="82" t="s">
        <v>32</v>
      </c>
      <c r="C26" s="70">
        <f>0.05518*25.73*17</f>
        <v>24.136283800000001</v>
      </c>
    </row>
    <row r="27" spans="1:3" x14ac:dyDescent="0.25">
      <c r="A27" s="81"/>
      <c r="B27" s="82" t="s">
        <v>33</v>
      </c>
      <c r="C27" s="70">
        <v>17.7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25.9</v>
      </c>
    </row>
    <row r="30" spans="1:3" x14ac:dyDescent="0.25">
      <c r="A30" s="81"/>
      <c r="B30" s="88" t="s">
        <v>36</v>
      </c>
      <c r="C30" s="70">
        <v>2.2799999999999998</v>
      </c>
    </row>
    <row r="31" spans="1:3" ht="30" x14ac:dyDescent="0.25">
      <c r="A31" s="81"/>
      <c r="B31" s="82" t="s">
        <v>37</v>
      </c>
      <c r="C31" s="70">
        <f>4.2</f>
        <v>4.2</v>
      </c>
    </row>
    <row r="32" spans="1:3" x14ac:dyDescent="0.25">
      <c r="A32" s="90"/>
      <c r="B32" s="88" t="s">
        <v>38</v>
      </c>
      <c r="C32" s="70">
        <v>0.9</v>
      </c>
    </row>
    <row r="33" spans="1:3" x14ac:dyDescent="0.25">
      <c r="A33" s="90"/>
      <c r="B33" s="82" t="s">
        <v>95</v>
      </c>
      <c r="C33" s="70">
        <v>2.4</v>
      </c>
    </row>
    <row r="34" spans="1:3" ht="36.75" customHeight="1" x14ac:dyDescent="0.25">
      <c r="A34" s="98"/>
      <c r="B34" s="99" t="s">
        <v>41</v>
      </c>
      <c r="C34" s="80">
        <f t="shared" ref="C34" si="5">C35+C62+C81+C83+C84</f>
        <v>5552.8589999999995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4445.2789999999995</v>
      </c>
    </row>
    <row r="36" spans="1:3" x14ac:dyDescent="0.25">
      <c r="A36" s="100">
        <v>2</v>
      </c>
      <c r="B36" s="76" t="s">
        <v>43</v>
      </c>
      <c r="C36" s="51">
        <v>669.67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992.55</v>
      </c>
    </row>
    <row r="39" spans="1:3" x14ac:dyDescent="0.25">
      <c r="A39" s="100">
        <v>5</v>
      </c>
      <c r="B39" s="102" t="s">
        <v>46</v>
      </c>
      <c r="C39" s="51">
        <v>238.76</v>
      </c>
    </row>
    <row r="40" spans="1:3" ht="47.25" x14ac:dyDescent="0.25">
      <c r="A40" s="100">
        <v>6</v>
      </c>
      <c r="B40" s="102" t="s">
        <v>47</v>
      </c>
      <c r="C40" s="51">
        <v>40.96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2426.2089999999998</v>
      </c>
    </row>
    <row r="42" spans="1:3" x14ac:dyDescent="0.25">
      <c r="A42" s="100"/>
      <c r="B42" s="88" t="s">
        <v>49</v>
      </c>
      <c r="C42" s="51">
        <f>37.65+20.969-15</f>
        <v>43.619</v>
      </c>
    </row>
    <row r="43" spans="1:3" x14ac:dyDescent="0.25">
      <c r="A43" s="100"/>
      <c r="B43" s="88" t="s">
        <v>91</v>
      </c>
      <c r="C43" s="51">
        <f>269.58+156.68+293.29+366.64+100</f>
        <v>1186.19</v>
      </c>
    </row>
    <row r="44" spans="1:3" ht="30" x14ac:dyDescent="0.25">
      <c r="A44" s="81"/>
      <c r="B44" s="88" t="s">
        <v>78</v>
      </c>
      <c r="C44" s="51">
        <v>51.8</v>
      </c>
    </row>
    <row r="45" spans="1:3" x14ac:dyDescent="0.25">
      <c r="A45" s="105"/>
      <c r="B45" s="88" t="s">
        <v>90</v>
      </c>
      <c r="C45" s="51">
        <v>1015</v>
      </c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>
        <v>129.6</v>
      </c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56.32</v>
      </c>
    </row>
    <row r="49" spans="1:3" x14ac:dyDescent="0.25">
      <c r="A49" s="100"/>
      <c r="B49" s="106" t="s">
        <v>52</v>
      </c>
      <c r="C49" s="51">
        <v>15.93</v>
      </c>
    </row>
    <row r="50" spans="1:3" x14ac:dyDescent="0.25">
      <c r="A50" s="100"/>
      <c r="B50" s="106" t="s">
        <v>53</v>
      </c>
      <c r="C50" s="51">
        <v>4.7300000000000004</v>
      </c>
    </row>
    <row r="51" spans="1:3" x14ac:dyDescent="0.25">
      <c r="A51" s="100"/>
      <c r="B51" s="106" t="s">
        <v>54</v>
      </c>
      <c r="C51" s="51">
        <v>8.32</v>
      </c>
    </row>
    <row r="52" spans="1:3" x14ac:dyDescent="0.25">
      <c r="A52" s="100"/>
      <c r="B52" s="106" t="s">
        <v>55</v>
      </c>
      <c r="C52" s="51">
        <v>11.3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3.68</v>
      </c>
    </row>
    <row r="55" spans="1:3" x14ac:dyDescent="0.25">
      <c r="A55" s="100"/>
      <c r="B55" s="88" t="s">
        <v>96</v>
      </c>
      <c r="C55" s="51">
        <v>10.69</v>
      </c>
    </row>
    <row r="56" spans="1:3" x14ac:dyDescent="0.25">
      <c r="A56" s="100"/>
      <c r="B56" s="88" t="s">
        <v>97</v>
      </c>
      <c r="C56" s="51">
        <v>1.67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7.27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20.81</v>
      </c>
    </row>
    <row r="60" spans="1:3" x14ac:dyDescent="0.25">
      <c r="A60" s="100"/>
      <c r="B60" s="82" t="s">
        <v>58</v>
      </c>
      <c r="C60" s="51">
        <v>14.51</v>
      </c>
    </row>
    <row r="61" spans="1:3" x14ac:dyDescent="0.25">
      <c r="A61" s="100"/>
      <c r="B61" s="82" t="s">
        <v>59</v>
      </c>
      <c r="C61" s="51">
        <v>6.3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715.5</v>
      </c>
    </row>
    <row r="63" spans="1:3" x14ac:dyDescent="0.25">
      <c r="A63" s="100">
        <v>11</v>
      </c>
      <c r="B63" s="76" t="s">
        <v>61</v>
      </c>
      <c r="C63" s="51">
        <v>157.36000000000001</v>
      </c>
    </row>
    <row r="64" spans="1:3" x14ac:dyDescent="0.25">
      <c r="A64" s="100">
        <v>12</v>
      </c>
      <c r="B64" s="108" t="s">
        <v>62</v>
      </c>
      <c r="C64" s="51">
        <v>416.49</v>
      </c>
    </row>
    <row r="65" spans="1:3" x14ac:dyDescent="0.25">
      <c r="A65" s="100">
        <v>13</v>
      </c>
      <c r="B65" s="108" t="s">
        <v>46</v>
      </c>
      <c r="C65" s="51">
        <v>95.1</v>
      </c>
    </row>
    <row r="66" spans="1:3" x14ac:dyDescent="0.25">
      <c r="A66" s="100">
        <v>14</v>
      </c>
      <c r="B66" s="103" t="s">
        <v>63</v>
      </c>
      <c r="C66" s="80">
        <f t="shared" ref="C66" si="11">C68</f>
        <v>6.79</v>
      </c>
    </row>
    <row r="67" spans="1:3" x14ac:dyDescent="0.25">
      <c r="A67" s="109"/>
      <c r="B67" s="106" t="s">
        <v>99</v>
      </c>
      <c r="C67" s="51">
        <v>13.35</v>
      </c>
    </row>
    <row r="68" spans="1:3" x14ac:dyDescent="0.25">
      <c r="A68" s="100"/>
      <c r="B68" s="108" t="s">
        <v>64</v>
      </c>
      <c r="C68" s="51">
        <v>6.79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39.76</v>
      </c>
    </row>
    <row r="70" spans="1:3" x14ac:dyDescent="0.25">
      <c r="A70" s="100"/>
      <c r="B70" s="82" t="s">
        <v>66</v>
      </c>
      <c r="C70" s="51">
        <v>0.56000000000000005</v>
      </c>
    </row>
    <row r="71" spans="1:3" x14ac:dyDescent="0.25">
      <c r="A71" s="100"/>
      <c r="B71" s="82" t="s">
        <v>67</v>
      </c>
      <c r="C71" s="51">
        <v>10.95</v>
      </c>
    </row>
    <row r="72" spans="1:3" ht="30" x14ac:dyDescent="0.25">
      <c r="A72" s="100"/>
      <c r="B72" s="82" t="s">
        <v>68</v>
      </c>
      <c r="C72" s="51">
        <v>5.44</v>
      </c>
    </row>
    <row r="73" spans="1:3" ht="30" x14ac:dyDescent="0.25">
      <c r="A73" s="112"/>
      <c r="B73" s="82" t="s">
        <v>69</v>
      </c>
      <c r="C73" s="51">
        <v>4.5199999999999996</v>
      </c>
    </row>
    <row r="74" spans="1:3" x14ac:dyDescent="0.25">
      <c r="A74" s="112"/>
      <c r="B74" s="82" t="s">
        <v>70</v>
      </c>
      <c r="C74" s="87">
        <v>0.56000000000000005</v>
      </c>
    </row>
    <row r="75" spans="1:3" x14ac:dyDescent="0.25">
      <c r="A75" s="112"/>
      <c r="B75" s="82" t="s">
        <v>71</v>
      </c>
      <c r="C75" s="87">
        <v>1.52</v>
      </c>
    </row>
    <row r="76" spans="1:3" x14ac:dyDescent="0.25">
      <c r="A76" s="112"/>
      <c r="B76" s="82" t="s">
        <v>72</v>
      </c>
      <c r="C76" s="87">
        <v>0.78</v>
      </c>
    </row>
    <row r="77" spans="1:3" ht="30" x14ac:dyDescent="0.25">
      <c r="A77" s="100"/>
      <c r="B77" s="82" t="s">
        <v>98</v>
      </c>
      <c r="C77" s="51">
        <v>7.53</v>
      </c>
    </row>
    <row r="78" spans="1:3" x14ac:dyDescent="0.25">
      <c r="A78" s="100"/>
      <c r="B78" s="82" t="s">
        <v>73</v>
      </c>
      <c r="C78" s="51">
        <v>0.28999999999999998</v>
      </c>
    </row>
    <row r="79" spans="1:3" x14ac:dyDescent="0.25">
      <c r="A79" s="100"/>
      <c r="B79" s="82" t="s">
        <v>100</v>
      </c>
      <c r="C79" s="51">
        <v>0.04</v>
      </c>
    </row>
    <row r="80" spans="1:3" x14ac:dyDescent="0.25">
      <c r="A80" s="113"/>
      <c r="B80" s="82" t="s">
        <v>74</v>
      </c>
      <c r="C80" s="51">
        <v>6.87</v>
      </c>
    </row>
    <row r="81" spans="1:3" x14ac:dyDescent="0.25">
      <c r="A81" s="114"/>
      <c r="B81" s="82" t="s">
        <v>75</v>
      </c>
      <c r="C81" s="51">
        <v>106.53</v>
      </c>
    </row>
    <row r="82" spans="1:3" ht="30" x14ac:dyDescent="0.25">
      <c r="A82" s="114"/>
      <c r="B82" s="108" t="s">
        <v>76</v>
      </c>
      <c r="C82" s="51">
        <v>0.7</v>
      </c>
    </row>
    <row r="83" spans="1:3" x14ac:dyDescent="0.25">
      <c r="A83" s="115">
        <v>18</v>
      </c>
      <c r="B83" s="102" t="s">
        <v>77</v>
      </c>
      <c r="C83" s="51">
        <v>54.6</v>
      </c>
    </row>
    <row r="84" spans="1:3" ht="31.5" x14ac:dyDescent="0.25">
      <c r="A84" s="116">
        <v>19</v>
      </c>
      <c r="B84" s="79" t="s">
        <v>30</v>
      </c>
      <c r="C84" s="117">
        <v>230.95</v>
      </c>
    </row>
    <row r="85" spans="1:3" ht="29.25" x14ac:dyDescent="0.25">
      <c r="A85" s="118"/>
      <c r="B85" s="119" t="s">
        <v>105</v>
      </c>
      <c r="C85" s="120">
        <f t="shared" ref="C85" si="13">C22-C34</f>
        <v>-1556.219116199999</v>
      </c>
    </row>
    <row r="86" spans="1:3" ht="31.5" x14ac:dyDescent="0.25">
      <c r="A86" s="60"/>
      <c r="B86" s="61" t="s">
        <v>92</v>
      </c>
      <c r="C86" s="80">
        <v>405.35</v>
      </c>
    </row>
    <row r="87" spans="1:3" x14ac:dyDescent="0.25">
      <c r="C87" s="86"/>
    </row>
  </sheetData>
  <pageMargins left="0.7" right="0.7" top="0.32" bottom="0.3" header="0.3" footer="0.3"/>
  <pageSetup paperSize="9" scale="49" orientation="portrait" verticalDpi="300" r:id="rId1"/>
  <rowBreaks count="1" manualBreakCount="1">
    <brk id="7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47" zoomScale="60" zoomScaleNormal="100" workbookViewId="0">
      <selection activeCell="C16" sqref="C16"/>
    </sheetView>
  </sheetViews>
  <sheetFormatPr defaultRowHeight="15.75" x14ac:dyDescent="0.25"/>
  <cols>
    <col min="1" max="1" width="6.85546875" style="52" customWidth="1"/>
    <col min="2" max="2" width="79.42578125" style="55" customWidth="1"/>
    <col min="3" max="3" width="42.8554687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6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2.58</v>
      </c>
    </row>
    <row r="6" spans="1:3" ht="31.5" x14ac:dyDescent="0.25">
      <c r="A6" s="67"/>
      <c r="B6" s="68" t="s">
        <v>89</v>
      </c>
      <c r="C6" s="70">
        <v>90.41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1260.9707225000002</v>
      </c>
    </row>
    <row r="8" spans="1:3" ht="31.5" x14ac:dyDescent="0.3">
      <c r="A8" s="72">
        <v>2</v>
      </c>
      <c r="B8" s="76" t="s">
        <v>29</v>
      </c>
      <c r="C8" s="78">
        <f>25.73*2.58*12</f>
        <v>796.60080000000016</v>
      </c>
    </row>
    <row r="9" spans="1:3" ht="31.5" x14ac:dyDescent="0.3">
      <c r="A9" s="72">
        <v>3</v>
      </c>
      <c r="B9" s="79" t="s">
        <v>30</v>
      </c>
      <c r="C9" s="80">
        <v>56.33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408.03992250000005</v>
      </c>
    </row>
    <row r="11" spans="1:3" ht="30" x14ac:dyDescent="0.25">
      <c r="A11" s="81"/>
      <c r="B11" s="82" t="s">
        <v>32</v>
      </c>
      <c r="C11" s="70">
        <f>0.07725*25.73*17</f>
        <v>33.789922500000003</v>
      </c>
    </row>
    <row r="12" spans="1:3" x14ac:dyDescent="0.25">
      <c r="A12" s="81"/>
      <c r="B12" s="82" t="s">
        <v>33</v>
      </c>
      <c r="C12" s="70">
        <v>3.85</v>
      </c>
    </row>
    <row r="13" spans="1:3" ht="45" x14ac:dyDescent="0.25">
      <c r="A13" s="81"/>
      <c r="B13" s="82" t="s">
        <v>34</v>
      </c>
      <c r="C13" s="70">
        <v>360</v>
      </c>
    </row>
    <row r="14" spans="1:3" ht="30" x14ac:dyDescent="0.25">
      <c r="A14" s="81"/>
      <c r="B14" s="82" t="s">
        <v>35</v>
      </c>
      <c r="C14" s="87">
        <v>6.37</v>
      </c>
    </row>
    <row r="15" spans="1:3" x14ac:dyDescent="0.25">
      <c r="A15" s="81"/>
      <c r="B15" s="88" t="s">
        <v>36</v>
      </c>
      <c r="C15" s="70">
        <v>1.93</v>
      </c>
    </row>
    <row r="16" spans="1:3" ht="30" x14ac:dyDescent="0.25">
      <c r="A16" s="81"/>
      <c r="B16" s="82" t="s">
        <v>37</v>
      </c>
      <c r="C16" s="70">
        <f>0.6+1</f>
        <v>1.6</v>
      </c>
    </row>
    <row r="17" spans="1:3" x14ac:dyDescent="0.25">
      <c r="A17" s="89"/>
      <c r="B17" s="82" t="s">
        <v>95</v>
      </c>
      <c r="C17" s="70">
        <v>1.4</v>
      </c>
    </row>
    <row r="18" spans="1:3" x14ac:dyDescent="0.25">
      <c r="A18" s="90"/>
      <c r="B18" s="88" t="s">
        <v>38</v>
      </c>
      <c r="C18" s="70">
        <v>0.5</v>
      </c>
    </row>
    <row r="19" spans="1:3" x14ac:dyDescent="0.25">
      <c r="A19" s="90"/>
      <c r="B19" s="88" t="s">
        <v>101</v>
      </c>
      <c r="C19" s="70">
        <v>2.38</v>
      </c>
    </row>
    <row r="20" spans="1:3" x14ac:dyDescent="0.25">
      <c r="A20" s="90"/>
      <c r="B20" s="88" t="s">
        <v>102</v>
      </c>
      <c r="C20" s="70">
        <v>1.25</v>
      </c>
    </row>
    <row r="21" spans="1:3" ht="18.75" x14ac:dyDescent="0.25">
      <c r="A21" s="92"/>
      <c r="B21" s="93" t="s">
        <v>39</v>
      </c>
      <c r="C21" s="94">
        <f t="shared" ref="C21" si="2">C7/C22*100</f>
        <v>100.15170038790562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1259.0607225000003</v>
      </c>
    </row>
    <row r="23" spans="1:3" ht="31.5" x14ac:dyDescent="0.3">
      <c r="A23" s="72">
        <v>2</v>
      </c>
      <c r="B23" s="76" t="s">
        <v>29</v>
      </c>
      <c r="C23" s="78">
        <f>25.73*2.58*12</f>
        <v>796.60080000000016</v>
      </c>
    </row>
    <row r="24" spans="1:3" ht="31.5" x14ac:dyDescent="0.3">
      <c r="A24" s="72">
        <v>3</v>
      </c>
      <c r="B24" s="79" t="s">
        <v>30</v>
      </c>
      <c r="C24" s="80">
        <v>56.48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405.97992250000004</v>
      </c>
    </row>
    <row r="26" spans="1:3" ht="30" x14ac:dyDescent="0.25">
      <c r="A26" s="81"/>
      <c r="B26" s="82" t="s">
        <v>32</v>
      </c>
      <c r="C26" s="70">
        <f>0.07725*25.73*17</f>
        <v>33.789922500000003</v>
      </c>
    </row>
    <row r="27" spans="1:3" x14ac:dyDescent="0.25">
      <c r="A27" s="81"/>
      <c r="B27" s="82" t="s">
        <v>33</v>
      </c>
      <c r="C27" s="70">
        <v>3.85</v>
      </c>
    </row>
    <row r="28" spans="1:3" ht="45" x14ac:dyDescent="0.25">
      <c r="A28" s="81"/>
      <c r="B28" s="82" t="s">
        <v>34</v>
      </c>
      <c r="C28" s="70">
        <v>360</v>
      </c>
    </row>
    <row r="29" spans="1:3" ht="30" x14ac:dyDescent="0.25">
      <c r="A29" s="81"/>
      <c r="B29" s="82" t="s">
        <v>35</v>
      </c>
      <c r="C29" s="87">
        <v>5.63</v>
      </c>
    </row>
    <row r="30" spans="1:3" x14ac:dyDescent="0.25">
      <c r="A30" s="81"/>
      <c r="B30" s="88" t="s">
        <v>36</v>
      </c>
      <c r="C30" s="70">
        <v>1.61</v>
      </c>
    </row>
    <row r="31" spans="1:3" ht="30" x14ac:dyDescent="0.25">
      <c r="A31" s="81"/>
      <c r="B31" s="82" t="s">
        <v>37</v>
      </c>
      <c r="C31" s="70">
        <f>0.6</f>
        <v>0.6</v>
      </c>
    </row>
    <row r="32" spans="1:3" x14ac:dyDescent="0.25">
      <c r="A32" s="90"/>
      <c r="B32" s="88" t="s">
        <v>38</v>
      </c>
      <c r="C32" s="70">
        <v>0.5</v>
      </c>
    </row>
    <row r="33" spans="1:3" x14ac:dyDescent="0.25">
      <c r="A33" s="90"/>
      <c r="B33" s="82" t="s">
        <v>95</v>
      </c>
      <c r="C33" s="70">
        <v>0.52</v>
      </c>
    </row>
    <row r="34" spans="1:3" x14ac:dyDescent="0.25">
      <c r="A34" s="98"/>
      <c r="B34" s="99" t="s">
        <v>41</v>
      </c>
      <c r="C34" s="80">
        <f t="shared" ref="C34" si="5">C35+C62+C81+C83+C84</f>
        <v>979.93999999999983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738.34999999999991</v>
      </c>
    </row>
    <row r="36" spans="1:3" x14ac:dyDescent="0.25">
      <c r="A36" s="100">
        <v>2</v>
      </c>
      <c r="B36" s="76" t="s">
        <v>43</v>
      </c>
      <c r="C36" s="51">
        <v>145.68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215.92</v>
      </c>
    </row>
    <row r="39" spans="1:3" x14ac:dyDescent="0.25">
      <c r="A39" s="100">
        <v>5</v>
      </c>
      <c r="B39" s="102" t="s">
        <v>46</v>
      </c>
      <c r="C39" s="51">
        <v>59.94</v>
      </c>
    </row>
    <row r="40" spans="1:3" ht="47.25" x14ac:dyDescent="0.25">
      <c r="A40" s="100">
        <v>6</v>
      </c>
      <c r="B40" s="102" t="s">
        <v>47</v>
      </c>
      <c r="C40" s="51">
        <v>8.91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291.07</v>
      </c>
    </row>
    <row r="42" spans="1:3" x14ac:dyDescent="0.25">
      <c r="A42" s="100"/>
      <c r="B42" s="88" t="s">
        <v>49</v>
      </c>
      <c r="C42" s="51"/>
    </row>
    <row r="43" spans="1:3" x14ac:dyDescent="0.25">
      <c r="A43" s="100"/>
      <c r="B43" s="88" t="s">
        <v>91</v>
      </c>
      <c r="C43" s="51">
        <f>20.8+50</f>
        <v>70.8</v>
      </c>
    </row>
    <row r="44" spans="1:3" ht="30" x14ac:dyDescent="0.25">
      <c r="A44" s="81"/>
      <c r="B44" s="88" t="s">
        <v>78</v>
      </c>
      <c r="C44" s="51">
        <v>11.27</v>
      </c>
    </row>
    <row r="45" spans="1:3" x14ac:dyDescent="0.25">
      <c r="A45" s="105"/>
      <c r="B45" s="88" t="s">
        <v>90</v>
      </c>
      <c r="C45" s="51">
        <v>209</v>
      </c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12.270000000000001</v>
      </c>
    </row>
    <row r="49" spans="1:3" x14ac:dyDescent="0.25">
      <c r="A49" s="100"/>
      <c r="B49" s="106" t="s">
        <v>52</v>
      </c>
      <c r="C49" s="51">
        <v>3.47</v>
      </c>
    </row>
    <row r="50" spans="1:3" x14ac:dyDescent="0.25">
      <c r="A50" s="100"/>
      <c r="B50" s="106" t="s">
        <v>53</v>
      </c>
      <c r="C50" s="51">
        <v>1.04</v>
      </c>
    </row>
    <row r="51" spans="1:3" x14ac:dyDescent="0.25">
      <c r="A51" s="100"/>
      <c r="B51" s="106" t="s">
        <v>54</v>
      </c>
      <c r="C51" s="51">
        <v>1.81</v>
      </c>
    </row>
    <row r="52" spans="1:3" x14ac:dyDescent="0.25">
      <c r="A52" s="100"/>
      <c r="B52" s="106" t="s">
        <v>55</v>
      </c>
      <c r="C52" s="51">
        <v>2.46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0.8</v>
      </c>
    </row>
    <row r="55" spans="1:3" x14ac:dyDescent="0.25">
      <c r="A55" s="100"/>
      <c r="B55" s="88" t="s">
        <v>96</v>
      </c>
      <c r="C55" s="51">
        <v>2.33</v>
      </c>
    </row>
    <row r="56" spans="1:3" x14ac:dyDescent="0.25">
      <c r="A56" s="100"/>
      <c r="B56" s="88" t="s">
        <v>97</v>
      </c>
      <c r="C56" s="51">
        <v>0.36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1.58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4.5600000000000005</v>
      </c>
    </row>
    <row r="60" spans="1:3" x14ac:dyDescent="0.25">
      <c r="A60" s="100"/>
      <c r="B60" s="82" t="s">
        <v>58</v>
      </c>
      <c r="C60" s="51">
        <v>3.16</v>
      </c>
    </row>
    <row r="61" spans="1:3" x14ac:dyDescent="0.25">
      <c r="A61" s="100"/>
      <c r="B61" s="82" t="s">
        <v>59</v>
      </c>
      <c r="C61" s="51">
        <v>1.4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156.27999999999997</v>
      </c>
    </row>
    <row r="63" spans="1:3" x14ac:dyDescent="0.25">
      <c r="A63" s="100">
        <v>11</v>
      </c>
      <c r="B63" s="76" t="s">
        <v>61</v>
      </c>
      <c r="C63" s="51">
        <v>34.229999999999997</v>
      </c>
    </row>
    <row r="64" spans="1:3" x14ac:dyDescent="0.25">
      <c r="A64" s="100">
        <v>12</v>
      </c>
      <c r="B64" s="108" t="s">
        <v>62</v>
      </c>
      <c r="C64" s="51">
        <v>90.6</v>
      </c>
    </row>
    <row r="65" spans="1:3" x14ac:dyDescent="0.25">
      <c r="A65" s="100">
        <v>13</v>
      </c>
      <c r="B65" s="108" t="s">
        <v>46</v>
      </c>
      <c r="C65" s="51">
        <v>21.34</v>
      </c>
    </row>
    <row r="66" spans="1:3" x14ac:dyDescent="0.25">
      <c r="A66" s="100">
        <v>14</v>
      </c>
      <c r="B66" s="103" t="s">
        <v>63</v>
      </c>
      <c r="C66" s="80">
        <f t="shared" ref="C66" si="11">C68</f>
        <v>1.48</v>
      </c>
    </row>
    <row r="67" spans="1:3" x14ac:dyDescent="0.25">
      <c r="A67" s="109"/>
      <c r="B67" s="106" t="s">
        <v>99</v>
      </c>
      <c r="C67" s="51">
        <v>2.9</v>
      </c>
    </row>
    <row r="68" spans="1:3" x14ac:dyDescent="0.25">
      <c r="A68" s="100"/>
      <c r="B68" s="108" t="s">
        <v>64</v>
      </c>
      <c r="C68" s="51">
        <v>1.48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8.629999999999999</v>
      </c>
    </row>
    <row r="70" spans="1:3" x14ac:dyDescent="0.25">
      <c r="A70" s="100"/>
      <c r="B70" s="82" t="s">
        <v>66</v>
      </c>
      <c r="C70" s="51">
        <v>0.12</v>
      </c>
    </row>
    <row r="71" spans="1:3" x14ac:dyDescent="0.25">
      <c r="A71" s="100"/>
      <c r="B71" s="82" t="s">
        <v>67</v>
      </c>
      <c r="C71" s="51">
        <v>2.38</v>
      </c>
    </row>
    <row r="72" spans="1:3" ht="30" x14ac:dyDescent="0.25">
      <c r="A72" s="100"/>
      <c r="B72" s="82" t="s">
        <v>68</v>
      </c>
      <c r="C72" s="51">
        <v>1.18</v>
      </c>
    </row>
    <row r="73" spans="1:3" ht="30" x14ac:dyDescent="0.25">
      <c r="A73" s="112"/>
      <c r="B73" s="82" t="s">
        <v>69</v>
      </c>
      <c r="C73" s="51">
        <v>0.98</v>
      </c>
    </row>
    <row r="74" spans="1:3" x14ac:dyDescent="0.25">
      <c r="A74" s="112"/>
      <c r="B74" s="82" t="s">
        <v>70</v>
      </c>
      <c r="C74" s="87">
        <v>0.12</v>
      </c>
    </row>
    <row r="75" spans="1:3" x14ac:dyDescent="0.25">
      <c r="A75" s="112"/>
      <c r="B75" s="82" t="s">
        <v>71</v>
      </c>
      <c r="C75" s="87">
        <v>0.33</v>
      </c>
    </row>
    <row r="76" spans="1:3" x14ac:dyDescent="0.25">
      <c r="A76" s="112"/>
      <c r="B76" s="82" t="s">
        <v>72</v>
      </c>
      <c r="C76" s="87">
        <v>0.17</v>
      </c>
    </row>
    <row r="77" spans="1:3" ht="30" x14ac:dyDescent="0.25">
      <c r="A77" s="100"/>
      <c r="B77" s="82" t="s">
        <v>98</v>
      </c>
      <c r="C77" s="51">
        <v>1.64</v>
      </c>
    </row>
    <row r="78" spans="1:3" x14ac:dyDescent="0.25">
      <c r="A78" s="100"/>
      <c r="B78" s="82" t="s">
        <v>73</v>
      </c>
      <c r="C78" s="51">
        <v>0.06</v>
      </c>
    </row>
    <row r="79" spans="1:3" x14ac:dyDescent="0.25">
      <c r="A79" s="100"/>
      <c r="B79" s="82" t="s">
        <v>100</v>
      </c>
      <c r="C79" s="51">
        <v>0.01</v>
      </c>
    </row>
    <row r="80" spans="1:3" x14ac:dyDescent="0.25">
      <c r="A80" s="113"/>
      <c r="B80" s="82" t="s">
        <v>74</v>
      </c>
      <c r="C80" s="51">
        <v>1.49</v>
      </c>
    </row>
    <row r="81" spans="1:3" x14ac:dyDescent="0.25">
      <c r="A81" s="114"/>
      <c r="B81" s="82" t="s">
        <v>75</v>
      </c>
      <c r="C81" s="51">
        <v>23.17</v>
      </c>
    </row>
    <row r="82" spans="1:3" ht="30" x14ac:dyDescent="0.25">
      <c r="A82" s="114"/>
      <c r="B82" s="108" t="s">
        <v>76</v>
      </c>
      <c r="C82" s="51">
        <v>0.15</v>
      </c>
    </row>
    <row r="83" spans="1:3" x14ac:dyDescent="0.25">
      <c r="A83" s="115">
        <v>18</v>
      </c>
      <c r="B83" s="102" t="s">
        <v>77</v>
      </c>
      <c r="C83" s="51">
        <v>11.9</v>
      </c>
    </row>
    <row r="84" spans="1:3" ht="31.5" x14ac:dyDescent="0.25">
      <c r="A84" s="116">
        <v>19</v>
      </c>
      <c r="B84" s="79" t="s">
        <v>30</v>
      </c>
      <c r="C84" s="117">
        <v>50.24</v>
      </c>
    </row>
    <row r="85" spans="1:3" ht="29.25" x14ac:dyDescent="0.25">
      <c r="A85" s="118"/>
      <c r="B85" s="119" t="s">
        <v>105</v>
      </c>
      <c r="C85" s="120">
        <f t="shared" ref="C85" si="13">C22-C34</f>
        <v>279.12072250000051</v>
      </c>
    </row>
    <row r="86" spans="1:3" ht="31.5" x14ac:dyDescent="0.25">
      <c r="A86" s="60"/>
      <c r="B86" s="61" t="s">
        <v>92</v>
      </c>
      <c r="C86" s="80">
        <v>93.19</v>
      </c>
    </row>
    <row r="87" spans="1:3" x14ac:dyDescent="0.25">
      <c r="C87" s="86"/>
    </row>
  </sheetData>
  <pageMargins left="0.7" right="0.45" top="0.32" bottom="0.2" header="0.3" footer="0.2"/>
  <pageSetup paperSize="9" scale="51" orientation="portrait" verticalDpi="300" r:id="rId1"/>
  <rowBreaks count="1" manualBreakCount="1">
    <brk id="7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13" zoomScale="60" zoomScaleNormal="100" workbookViewId="0">
      <selection activeCell="C3" sqref="C3"/>
    </sheetView>
  </sheetViews>
  <sheetFormatPr defaultRowHeight="15.75" x14ac:dyDescent="0.25"/>
  <cols>
    <col min="1" max="1" width="6.85546875" style="52" customWidth="1"/>
    <col min="2" max="2" width="64" style="55" customWidth="1"/>
    <col min="3" max="3" width="29.710937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7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5.18</v>
      </c>
    </row>
    <row r="6" spans="1:3" ht="31.5" x14ac:dyDescent="0.25">
      <c r="A6" s="67"/>
      <c r="B6" s="68" t="s">
        <v>89</v>
      </c>
      <c r="C6" s="70">
        <v>386.98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1738.3367999999998</v>
      </c>
    </row>
    <row r="8" spans="1:3" ht="31.5" x14ac:dyDescent="0.3">
      <c r="A8" s="72">
        <v>2</v>
      </c>
      <c r="B8" s="76" t="s">
        <v>29</v>
      </c>
      <c r="C8" s="78">
        <f>25.73*5.18*12</f>
        <v>1599.3768</v>
      </c>
    </row>
    <row r="9" spans="1:3" ht="31.5" x14ac:dyDescent="0.3">
      <c r="A9" s="72">
        <v>3</v>
      </c>
      <c r="B9" s="79" t="s">
        <v>30</v>
      </c>
      <c r="C9" s="80">
        <v>113.1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25.860000000000003</v>
      </c>
    </row>
    <row r="11" spans="1:3" ht="30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7.73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12.79</v>
      </c>
    </row>
    <row r="15" spans="1:3" x14ac:dyDescent="0.25">
      <c r="A15" s="81"/>
      <c r="B15" s="88" t="s">
        <v>36</v>
      </c>
      <c r="C15" s="70">
        <v>1.44</v>
      </c>
    </row>
    <row r="16" spans="1:3" ht="30" x14ac:dyDescent="0.25">
      <c r="A16" s="81"/>
      <c r="B16" s="82" t="s">
        <v>37</v>
      </c>
      <c r="C16" s="70">
        <f>0.6+1</f>
        <v>1.6</v>
      </c>
    </row>
    <row r="17" spans="1:3" x14ac:dyDescent="0.25">
      <c r="A17" s="89"/>
      <c r="B17" s="82" t="s">
        <v>95</v>
      </c>
      <c r="C17" s="70">
        <v>2.8</v>
      </c>
    </row>
    <row r="18" spans="1:3" x14ac:dyDescent="0.25">
      <c r="A18" s="90"/>
      <c r="B18" s="88" t="s">
        <v>38</v>
      </c>
      <c r="C18" s="70">
        <v>2.2999999999999998</v>
      </c>
    </row>
    <row r="19" spans="1:3" x14ac:dyDescent="0.25">
      <c r="A19" s="90"/>
      <c r="B19" s="88" t="s">
        <v>101</v>
      </c>
      <c r="C19" s="70">
        <v>4.7699999999999996</v>
      </c>
    </row>
    <row r="20" spans="1:3" x14ac:dyDescent="0.25">
      <c r="A20" s="90"/>
      <c r="B20" s="88" t="s">
        <v>102</v>
      </c>
      <c r="C20" s="70">
        <v>3.65</v>
      </c>
    </row>
    <row r="21" spans="1:3" ht="18.75" x14ac:dyDescent="0.25">
      <c r="A21" s="92"/>
      <c r="B21" s="93" t="s">
        <v>39</v>
      </c>
      <c r="C21" s="94">
        <f t="shared" ref="C21" si="2">C7/C22*100</f>
        <v>92.898301519602953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1871.2256000000002</v>
      </c>
    </row>
    <row r="23" spans="1:3" ht="31.5" x14ac:dyDescent="0.3">
      <c r="A23" s="72">
        <v>2</v>
      </c>
      <c r="B23" s="76" t="s">
        <v>29</v>
      </c>
      <c r="C23" s="78">
        <f>27.91*5.18*12</f>
        <v>1734.8856000000001</v>
      </c>
    </row>
    <row r="24" spans="1:3" ht="31.5" x14ac:dyDescent="0.3">
      <c r="A24" s="72">
        <v>3</v>
      </c>
      <c r="B24" s="79" t="s">
        <v>30</v>
      </c>
      <c r="C24" s="80">
        <v>113.4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22.94</v>
      </c>
    </row>
    <row r="26" spans="1:3" ht="30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7.73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11.31</v>
      </c>
    </row>
    <row r="30" spans="1:3" x14ac:dyDescent="0.25">
      <c r="A30" s="81"/>
      <c r="B30" s="88" t="s">
        <v>36</v>
      </c>
      <c r="C30" s="70">
        <v>1</v>
      </c>
    </row>
    <row r="31" spans="1:3" ht="30" x14ac:dyDescent="0.25">
      <c r="A31" s="81"/>
      <c r="B31" s="82" t="s">
        <v>37</v>
      </c>
      <c r="C31" s="70">
        <f>0.6</f>
        <v>0.6</v>
      </c>
    </row>
    <row r="32" spans="1:3" x14ac:dyDescent="0.25">
      <c r="A32" s="90"/>
      <c r="B32" s="88" t="s">
        <v>38</v>
      </c>
      <c r="C32" s="70">
        <v>2.2999999999999998</v>
      </c>
    </row>
    <row r="33" spans="1:3" x14ac:dyDescent="0.25">
      <c r="A33" s="90"/>
      <c r="B33" s="82" t="s">
        <v>95</v>
      </c>
      <c r="C33" s="70">
        <v>1.05</v>
      </c>
    </row>
    <row r="34" spans="1:3" x14ac:dyDescent="0.25">
      <c r="A34" s="98"/>
      <c r="B34" s="99" t="s">
        <v>41</v>
      </c>
      <c r="C34" s="80">
        <f t="shared" ref="C34" si="5">C35+C62+C81+C83+C84</f>
        <v>1399.4099999999999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914.57999999999993</v>
      </c>
    </row>
    <row r="36" spans="1:3" x14ac:dyDescent="0.25">
      <c r="A36" s="100">
        <v>2</v>
      </c>
      <c r="B36" s="76" t="s">
        <v>43</v>
      </c>
      <c r="C36" s="51">
        <v>292.49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433.51</v>
      </c>
    </row>
    <row r="39" spans="1:3" x14ac:dyDescent="0.25">
      <c r="A39" s="100">
        <v>5</v>
      </c>
      <c r="B39" s="102" t="s">
        <v>46</v>
      </c>
      <c r="C39" s="51">
        <v>114.28</v>
      </c>
    </row>
    <row r="40" spans="1:3" ht="47.25" x14ac:dyDescent="0.25">
      <c r="A40" s="100">
        <v>6</v>
      </c>
      <c r="B40" s="102" t="s">
        <v>47</v>
      </c>
      <c r="C40" s="51">
        <v>17.899999999999999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22.63</v>
      </c>
    </row>
    <row r="42" spans="1:3" x14ac:dyDescent="0.25">
      <c r="A42" s="100"/>
      <c r="B42" s="88" t="s">
        <v>49</v>
      </c>
      <c r="C42" s="51"/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22.63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24.63</v>
      </c>
    </row>
    <row r="49" spans="1:3" x14ac:dyDescent="0.25">
      <c r="A49" s="100"/>
      <c r="B49" s="106" t="s">
        <v>52</v>
      </c>
      <c r="C49" s="51">
        <v>6.96</v>
      </c>
    </row>
    <row r="50" spans="1:3" x14ac:dyDescent="0.25">
      <c r="A50" s="100"/>
      <c r="B50" s="106" t="s">
        <v>53</v>
      </c>
      <c r="C50" s="51">
        <v>2.09</v>
      </c>
    </row>
    <row r="51" spans="1:3" x14ac:dyDescent="0.25">
      <c r="A51" s="100"/>
      <c r="B51" s="106" t="s">
        <v>54</v>
      </c>
      <c r="C51" s="51">
        <v>3.64</v>
      </c>
    </row>
    <row r="52" spans="1:3" x14ac:dyDescent="0.25">
      <c r="A52" s="100"/>
      <c r="B52" s="106" t="s">
        <v>55</v>
      </c>
      <c r="C52" s="51">
        <v>4.93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1.61</v>
      </c>
    </row>
    <row r="55" spans="1:3" x14ac:dyDescent="0.25">
      <c r="A55" s="100"/>
      <c r="B55" s="88" t="s">
        <v>96</v>
      </c>
      <c r="C55" s="51">
        <v>4.67</v>
      </c>
    </row>
    <row r="56" spans="1:3" x14ac:dyDescent="0.25">
      <c r="A56" s="100"/>
      <c r="B56" s="88" t="s">
        <v>97</v>
      </c>
      <c r="C56" s="51">
        <v>0.73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3.18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9.14</v>
      </c>
    </row>
    <row r="60" spans="1:3" x14ac:dyDescent="0.25">
      <c r="A60" s="100"/>
      <c r="B60" s="82" t="s">
        <v>58</v>
      </c>
      <c r="C60" s="51">
        <v>6.34</v>
      </c>
    </row>
    <row r="61" spans="1:3" x14ac:dyDescent="0.25">
      <c r="A61" s="100"/>
      <c r="B61" s="82" t="s">
        <v>59</v>
      </c>
      <c r="C61" s="51">
        <v>2.8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313.83000000000004</v>
      </c>
    </row>
    <row r="63" spans="1:3" x14ac:dyDescent="0.25">
      <c r="A63" s="100">
        <v>11</v>
      </c>
      <c r="B63" s="76" t="s">
        <v>61</v>
      </c>
      <c r="C63" s="51">
        <v>68.73</v>
      </c>
    </row>
    <row r="64" spans="1:3" x14ac:dyDescent="0.25">
      <c r="A64" s="100">
        <v>12</v>
      </c>
      <c r="B64" s="108" t="s">
        <v>62</v>
      </c>
      <c r="C64" s="51">
        <v>181.91</v>
      </c>
    </row>
    <row r="65" spans="1:3" x14ac:dyDescent="0.25">
      <c r="A65" s="100">
        <v>13</v>
      </c>
      <c r="B65" s="108" t="s">
        <v>46</v>
      </c>
      <c r="C65" s="51">
        <v>42.85</v>
      </c>
    </row>
    <row r="66" spans="1:3" x14ac:dyDescent="0.25">
      <c r="A66" s="100">
        <v>14</v>
      </c>
      <c r="B66" s="103" t="s">
        <v>63</v>
      </c>
      <c r="C66" s="80">
        <f t="shared" ref="C66" si="11">C68</f>
        <v>2.97</v>
      </c>
    </row>
    <row r="67" spans="1:3" x14ac:dyDescent="0.25">
      <c r="A67" s="109"/>
      <c r="B67" s="106" t="s">
        <v>99</v>
      </c>
      <c r="C67" s="51">
        <v>5.83</v>
      </c>
    </row>
    <row r="68" spans="1:3" x14ac:dyDescent="0.25">
      <c r="A68" s="100"/>
      <c r="B68" s="108" t="s">
        <v>64</v>
      </c>
      <c r="C68" s="51">
        <v>2.97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17.37</v>
      </c>
    </row>
    <row r="70" spans="1:3" x14ac:dyDescent="0.25">
      <c r="A70" s="100"/>
      <c r="B70" s="82" t="s">
        <v>66</v>
      </c>
      <c r="C70" s="51">
        <v>0.25</v>
      </c>
    </row>
    <row r="71" spans="1:3" x14ac:dyDescent="0.25">
      <c r="A71" s="100"/>
      <c r="B71" s="82" t="s">
        <v>67</v>
      </c>
      <c r="C71" s="51">
        <v>4.78</v>
      </c>
    </row>
    <row r="72" spans="1:3" ht="30" x14ac:dyDescent="0.25">
      <c r="A72" s="100"/>
      <c r="B72" s="82" t="s">
        <v>68</v>
      </c>
      <c r="C72" s="51">
        <v>2.37</v>
      </c>
    </row>
    <row r="73" spans="1:3" ht="30" x14ac:dyDescent="0.25">
      <c r="A73" s="112"/>
      <c r="B73" s="82" t="s">
        <v>69</v>
      </c>
      <c r="C73" s="51">
        <v>1.97</v>
      </c>
    </row>
    <row r="74" spans="1:3" x14ac:dyDescent="0.25">
      <c r="A74" s="112"/>
      <c r="B74" s="82" t="s">
        <v>70</v>
      </c>
      <c r="C74" s="87">
        <v>0.25</v>
      </c>
    </row>
    <row r="75" spans="1:3" x14ac:dyDescent="0.25">
      <c r="A75" s="112"/>
      <c r="B75" s="82" t="s">
        <v>71</v>
      </c>
      <c r="C75" s="87">
        <v>0.67</v>
      </c>
    </row>
    <row r="76" spans="1:3" x14ac:dyDescent="0.25">
      <c r="A76" s="112"/>
      <c r="B76" s="82" t="s">
        <v>72</v>
      </c>
      <c r="C76" s="87">
        <v>0.34</v>
      </c>
    </row>
    <row r="77" spans="1:3" ht="30" x14ac:dyDescent="0.25">
      <c r="A77" s="100"/>
      <c r="B77" s="82" t="s">
        <v>98</v>
      </c>
      <c r="C77" s="51">
        <v>3.29</v>
      </c>
    </row>
    <row r="78" spans="1:3" x14ac:dyDescent="0.25">
      <c r="A78" s="100"/>
      <c r="B78" s="82" t="s">
        <v>73</v>
      </c>
      <c r="C78" s="51">
        <v>0.13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3</v>
      </c>
    </row>
    <row r="81" spans="1:3" x14ac:dyDescent="0.25">
      <c r="A81" s="114"/>
      <c r="B81" s="82" t="s">
        <v>75</v>
      </c>
      <c r="C81" s="51">
        <v>46.53</v>
      </c>
    </row>
    <row r="82" spans="1:3" ht="30" x14ac:dyDescent="0.25">
      <c r="A82" s="114"/>
      <c r="B82" s="108" t="s">
        <v>76</v>
      </c>
      <c r="C82" s="51">
        <v>0.3</v>
      </c>
    </row>
    <row r="83" spans="1:3" x14ac:dyDescent="0.25">
      <c r="A83" s="115">
        <v>18</v>
      </c>
      <c r="B83" s="102" t="s">
        <v>77</v>
      </c>
      <c r="C83" s="51">
        <v>23.8</v>
      </c>
    </row>
    <row r="84" spans="1:3" ht="31.5" x14ac:dyDescent="0.25">
      <c r="A84" s="116">
        <v>19</v>
      </c>
      <c r="B84" s="79" t="s">
        <v>30</v>
      </c>
      <c r="C84" s="117">
        <v>100.67</v>
      </c>
    </row>
    <row r="85" spans="1:3" ht="29.25" x14ac:dyDescent="0.25">
      <c r="A85" s="118"/>
      <c r="B85" s="119" t="s">
        <v>105</v>
      </c>
      <c r="C85" s="120">
        <f t="shared" ref="C85" si="13">C22-C34</f>
        <v>471.81560000000036</v>
      </c>
    </row>
    <row r="86" spans="1:3" ht="31.5" x14ac:dyDescent="0.25">
      <c r="A86" s="60"/>
      <c r="B86" s="61" t="s">
        <v>92</v>
      </c>
      <c r="C86" s="80">
        <v>380.32</v>
      </c>
    </row>
    <row r="87" spans="1:3" x14ac:dyDescent="0.25">
      <c r="C87" s="86"/>
    </row>
  </sheetData>
  <pageMargins left="0.7" right="0.54" top="0.32" bottom="0.23" header="0.3" footer="0.21"/>
  <pageSetup paperSize="9" scale="55" orientation="portrait" verticalDpi="300" r:id="rId1"/>
  <rowBreaks count="1" manualBreakCount="1">
    <brk id="6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46" zoomScale="60" zoomScaleNormal="100" workbookViewId="0">
      <selection activeCell="F13" sqref="F13"/>
    </sheetView>
  </sheetViews>
  <sheetFormatPr defaultRowHeight="15.75" x14ac:dyDescent="0.25"/>
  <cols>
    <col min="1" max="1" width="6.85546875" style="52" customWidth="1"/>
    <col min="2" max="2" width="76.7109375" style="55" customWidth="1"/>
    <col min="3" max="3" width="32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x14ac:dyDescent="0.25">
      <c r="A3" s="60"/>
      <c r="B3" s="61"/>
      <c r="C3" s="61" t="s">
        <v>8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4.07</v>
      </c>
    </row>
    <row r="6" spans="1:3" ht="31.5" x14ac:dyDescent="0.25">
      <c r="A6" s="67"/>
      <c r="B6" s="68" t="s">
        <v>89</v>
      </c>
      <c r="C6" s="70">
        <v>121.05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1366.1232</v>
      </c>
    </row>
    <row r="8" spans="1:3" ht="31.5" x14ac:dyDescent="0.3">
      <c r="A8" s="72">
        <v>2</v>
      </c>
      <c r="B8" s="76" t="s">
        <v>29</v>
      </c>
      <c r="C8" s="78">
        <f>25.73*4.07*12</f>
        <v>1256.6532000000002</v>
      </c>
    </row>
    <row r="9" spans="1:3" ht="31.5" x14ac:dyDescent="0.3">
      <c r="A9" s="72">
        <v>3</v>
      </c>
      <c r="B9" s="79" t="s">
        <v>30</v>
      </c>
      <c r="C9" s="80">
        <v>88.86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20.610000000000003</v>
      </c>
    </row>
    <row r="11" spans="1:3" ht="30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6.07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10.050000000000001</v>
      </c>
    </row>
    <row r="15" spans="1:3" x14ac:dyDescent="0.25">
      <c r="A15" s="81"/>
      <c r="B15" s="88" t="s">
        <v>36</v>
      </c>
      <c r="C15" s="70">
        <v>0.59</v>
      </c>
    </row>
    <row r="16" spans="1:3" ht="30" x14ac:dyDescent="0.25">
      <c r="A16" s="81"/>
      <c r="B16" s="82" t="s">
        <v>37</v>
      </c>
      <c r="C16" s="70">
        <f>0.6+1</f>
        <v>1.6</v>
      </c>
    </row>
    <row r="17" spans="1:3" x14ac:dyDescent="0.25">
      <c r="A17" s="89"/>
      <c r="B17" s="82" t="s">
        <v>95</v>
      </c>
      <c r="C17" s="70">
        <v>2.2000000000000002</v>
      </c>
    </row>
    <row r="18" spans="1:3" x14ac:dyDescent="0.25">
      <c r="A18" s="90"/>
      <c r="B18" s="88" t="s">
        <v>38</v>
      </c>
      <c r="C18" s="70">
        <v>2.2999999999999998</v>
      </c>
    </row>
    <row r="19" spans="1:3" x14ac:dyDescent="0.25">
      <c r="A19" s="90"/>
      <c r="B19" s="88" t="s">
        <v>101</v>
      </c>
      <c r="C19" s="70">
        <v>3.75</v>
      </c>
    </row>
    <row r="20" spans="1:3" x14ac:dyDescent="0.25">
      <c r="A20" s="90"/>
      <c r="B20" s="88" t="s">
        <v>102</v>
      </c>
      <c r="C20" s="70">
        <v>2.14</v>
      </c>
    </row>
    <row r="21" spans="1:3" ht="18.75" x14ac:dyDescent="0.25">
      <c r="A21" s="92"/>
      <c r="B21" s="93" t="s">
        <v>39</v>
      </c>
      <c r="C21" s="94">
        <f t="shared" ref="C21" si="2">C7/C22*100</f>
        <v>92.850528751706634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1471.3144</v>
      </c>
    </row>
    <row r="23" spans="1:3" ht="31.5" x14ac:dyDescent="0.3">
      <c r="A23" s="72">
        <v>2</v>
      </c>
      <c r="B23" s="76" t="s">
        <v>29</v>
      </c>
      <c r="C23" s="78">
        <f>27.91*4.07*12</f>
        <v>1363.1244000000002</v>
      </c>
    </row>
    <row r="24" spans="1:3" ht="31.5" x14ac:dyDescent="0.3">
      <c r="A24" s="72">
        <v>3</v>
      </c>
      <c r="B24" s="79" t="s">
        <v>30</v>
      </c>
      <c r="C24" s="80">
        <v>89.1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19.090000000000003</v>
      </c>
    </row>
    <row r="26" spans="1:3" ht="30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6.07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8.89</v>
      </c>
    </row>
    <row r="30" spans="1:3" x14ac:dyDescent="0.25">
      <c r="A30" s="81"/>
      <c r="B30" s="88" t="s">
        <v>36</v>
      </c>
      <c r="C30" s="70">
        <v>1.23</v>
      </c>
    </row>
    <row r="31" spans="1:3" ht="30" x14ac:dyDescent="0.25">
      <c r="A31" s="81"/>
      <c r="B31" s="82" t="s">
        <v>37</v>
      </c>
      <c r="C31" s="70">
        <f>0.6</f>
        <v>0.6</v>
      </c>
    </row>
    <row r="32" spans="1:3" x14ac:dyDescent="0.25">
      <c r="A32" s="90"/>
      <c r="B32" s="88" t="s">
        <v>38</v>
      </c>
      <c r="C32" s="70">
        <v>2.2999999999999998</v>
      </c>
    </row>
    <row r="33" spans="1:3" x14ac:dyDescent="0.25">
      <c r="A33" s="90"/>
      <c r="B33" s="82" t="s">
        <v>95</v>
      </c>
      <c r="C33" s="70">
        <v>0.82</v>
      </c>
    </row>
    <row r="34" spans="1:3" x14ac:dyDescent="0.25">
      <c r="A34" s="98"/>
      <c r="B34" s="99" t="s">
        <v>41</v>
      </c>
      <c r="C34" s="80">
        <f t="shared" ref="C34" si="5">C35+C62+C81+C83+C84</f>
        <v>1091.6200000000001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710.53000000000009</v>
      </c>
    </row>
    <row r="36" spans="1:3" x14ac:dyDescent="0.25">
      <c r="A36" s="100">
        <v>2</v>
      </c>
      <c r="B36" s="76" t="s">
        <v>43</v>
      </c>
      <c r="C36" s="51">
        <v>229.81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340.62</v>
      </c>
    </row>
    <row r="39" spans="1:3" x14ac:dyDescent="0.25">
      <c r="A39" s="100">
        <v>5</v>
      </c>
      <c r="B39" s="102" t="s">
        <v>46</v>
      </c>
      <c r="C39" s="51">
        <v>81.93</v>
      </c>
    </row>
    <row r="40" spans="1:3" ht="47.25" x14ac:dyDescent="0.25">
      <c r="A40" s="100">
        <v>6</v>
      </c>
      <c r="B40" s="102" t="s">
        <v>47</v>
      </c>
      <c r="C40" s="51">
        <v>14.06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17.78</v>
      </c>
    </row>
    <row r="42" spans="1:3" x14ac:dyDescent="0.25">
      <c r="A42" s="100"/>
      <c r="B42" s="88" t="s">
        <v>49</v>
      </c>
      <c r="C42" s="51"/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17.78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19.349999999999998</v>
      </c>
    </row>
    <row r="49" spans="1:3" x14ac:dyDescent="0.25">
      <c r="A49" s="100"/>
      <c r="B49" s="106" t="s">
        <v>52</v>
      </c>
      <c r="C49" s="51">
        <v>5.47</v>
      </c>
    </row>
    <row r="50" spans="1:3" x14ac:dyDescent="0.25">
      <c r="A50" s="100"/>
      <c r="B50" s="106" t="s">
        <v>53</v>
      </c>
      <c r="C50" s="51">
        <v>1.64</v>
      </c>
    </row>
    <row r="51" spans="1:3" x14ac:dyDescent="0.25">
      <c r="A51" s="100"/>
      <c r="B51" s="106" t="s">
        <v>54</v>
      </c>
      <c r="C51" s="51">
        <v>2.86</v>
      </c>
    </row>
    <row r="52" spans="1:3" x14ac:dyDescent="0.25">
      <c r="A52" s="100"/>
      <c r="B52" s="106" t="s">
        <v>55</v>
      </c>
      <c r="C52" s="51">
        <v>3.88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1.26</v>
      </c>
    </row>
    <row r="55" spans="1:3" x14ac:dyDescent="0.25">
      <c r="A55" s="100"/>
      <c r="B55" s="88" t="s">
        <v>96</v>
      </c>
      <c r="C55" s="51">
        <v>3.67</v>
      </c>
    </row>
    <row r="56" spans="1:3" x14ac:dyDescent="0.25">
      <c r="A56" s="100"/>
      <c r="B56" s="88" t="s">
        <v>97</v>
      </c>
      <c r="C56" s="51">
        <v>0.56999999999999995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2.5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6.98</v>
      </c>
    </row>
    <row r="60" spans="1:3" x14ac:dyDescent="0.25">
      <c r="A60" s="100"/>
      <c r="B60" s="82" t="s">
        <v>58</v>
      </c>
      <c r="C60" s="51">
        <v>4.9800000000000004</v>
      </c>
    </row>
    <row r="61" spans="1:3" x14ac:dyDescent="0.25">
      <c r="A61" s="100"/>
      <c r="B61" s="82" t="s">
        <v>59</v>
      </c>
      <c r="C61" s="51">
        <v>2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246.58000000000004</v>
      </c>
    </row>
    <row r="63" spans="1:3" x14ac:dyDescent="0.25">
      <c r="A63" s="100">
        <v>11</v>
      </c>
      <c r="B63" s="76" t="s">
        <v>61</v>
      </c>
      <c r="C63" s="51">
        <v>54</v>
      </c>
    </row>
    <row r="64" spans="1:3" x14ac:dyDescent="0.25">
      <c r="A64" s="100">
        <v>12</v>
      </c>
      <c r="B64" s="108" t="s">
        <v>62</v>
      </c>
      <c r="C64" s="51">
        <v>142.93</v>
      </c>
    </row>
    <row r="65" spans="1:3" x14ac:dyDescent="0.25">
      <c r="A65" s="100">
        <v>13</v>
      </c>
      <c r="B65" s="108" t="s">
        <v>46</v>
      </c>
      <c r="C65" s="51">
        <v>33.67</v>
      </c>
    </row>
    <row r="66" spans="1:3" x14ac:dyDescent="0.25">
      <c r="A66" s="100">
        <v>14</v>
      </c>
      <c r="B66" s="103" t="s">
        <v>63</v>
      </c>
      <c r="C66" s="80">
        <f t="shared" ref="C66" si="11">C68</f>
        <v>2.33</v>
      </c>
    </row>
    <row r="67" spans="1:3" x14ac:dyDescent="0.25">
      <c r="A67" s="109"/>
      <c r="B67" s="106" t="s">
        <v>99</v>
      </c>
      <c r="C67" s="51">
        <v>4.58</v>
      </c>
    </row>
    <row r="68" spans="1:3" x14ac:dyDescent="0.25">
      <c r="A68" s="100"/>
      <c r="B68" s="108" t="s">
        <v>64</v>
      </c>
      <c r="C68" s="51">
        <v>2.33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13.649999999999999</v>
      </c>
    </row>
    <row r="70" spans="1:3" x14ac:dyDescent="0.25">
      <c r="A70" s="100"/>
      <c r="B70" s="82" t="s">
        <v>66</v>
      </c>
      <c r="C70" s="51">
        <v>0.19</v>
      </c>
    </row>
    <row r="71" spans="1:3" x14ac:dyDescent="0.25">
      <c r="A71" s="100"/>
      <c r="B71" s="82" t="s">
        <v>67</v>
      </c>
      <c r="C71" s="51">
        <v>3.76</v>
      </c>
    </row>
    <row r="72" spans="1:3" ht="30" x14ac:dyDescent="0.25">
      <c r="A72" s="100"/>
      <c r="B72" s="82" t="s">
        <v>68</v>
      </c>
      <c r="C72" s="51">
        <v>1.87</v>
      </c>
    </row>
    <row r="73" spans="1:3" ht="30" x14ac:dyDescent="0.25">
      <c r="A73" s="112"/>
      <c r="B73" s="82" t="s">
        <v>69</v>
      </c>
      <c r="C73" s="51">
        <v>1.55</v>
      </c>
    </row>
    <row r="74" spans="1:3" x14ac:dyDescent="0.25">
      <c r="A74" s="112"/>
      <c r="B74" s="82" t="s">
        <v>70</v>
      </c>
      <c r="C74" s="87">
        <v>0.19</v>
      </c>
    </row>
    <row r="75" spans="1:3" x14ac:dyDescent="0.25">
      <c r="A75" s="112"/>
      <c r="B75" s="82" t="s">
        <v>71</v>
      </c>
      <c r="C75" s="87">
        <v>0.52</v>
      </c>
    </row>
    <row r="76" spans="1:3" x14ac:dyDescent="0.25">
      <c r="A76" s="112"/>
      <c r="B76" s="82" t="s">
        <v>72</v>
      </c>
      <c r="C76" s="87">
        <v>0.27</v>
      </c>
    </row>
    <row r="77" spans="1:3" ht="30" x14ac:dyDescent="0.25">
      <c r="A77" s="100"/>
      <c r="B77" s="82" t="s">
        <v>98</v>
      </c>
      <c r="C77" s="51">
        <v>2.59</v>
      </c>
    </row>
    <row r="78" spans="1:3" x14ac:dyDescent="0.25">
      <c r="A78" s="100"/>
      <c r="B78" s="82" t="s">
        <v>73</v>
      </c>
      <c r="C78" s="51">
        <v>0.1</v>
      </c>
    </row>
    <row r="79" spans="1:3" x14ac:dyDescent="0.25">
      <c r="A79" s="100"/>
      <c r="B79" s="82" t="s">
        <v>100</v>
      </c>
      <c r="C79" s="51">
        <v>0.01</v>
      </c>
    </row>
    <row r="80" spans="1:3" x14ac:dyDescent="0.25">
      <c r="A80" s="113"/>
      <c r="B80" s="82" t="s">
        <v>74</v>
      </c>
      <c r="C80" s="51">
        <v>2.36</v>
      </c>
    </row>
    <row r="81" spans="1:3" x14ac:dyDescent="0.25">
      <c r="A81" s="114"/>
      <c r="B81" s="82" t="s">
        <v>75</v>
      </c>
      <c r="C81" s="51">
        <v>36.56</v>
      </c>
    </row>
    <row r="82" spans="1:3" ht="30" x14ac:dyDescent="0.25">
      <c r="A82" s="114"/>
      <c r="B82" s="108" t="s">
        <v>76</v>
      </c>
      <c r="C82" s="51">
        <v>0.24</v>
      </c>
    </row>
    <row r="83" spans="1:3" x14ac:dyDescent="0.25">
      <c r="A83" s="115">
        <v>18</v>
      </c>
      <c r="B83" s="102" t="s">
        <v>77</v>
      </c>
      <c r="C83" s="51">
        <v>18.7</v>
      </c>
    </row>
    <row r="84" spans="1:3" ht="31.5" x14ac:dyDescent="0.25">
      <c r="A84" s="116">
        <v>19</v>
      </c>
      <c r="B84" s="79" t="s">
        <v>30</v>
      </c>
      <c r="C84" s="117">
        <v>79.25</v>
      </c>
    </row>
    <row r="85" spans="1:3" ht="29.25" x14ac:dyDescent="0.25">
      <c r="A85" s="118"/>
      <c r="B85" s="119" t="s">
        <v>105</v>
      </c>
      <c r="C85" s="120">
        <f t="shared" ref="C85" si="13">C22-C34</f>
        <v>379.69439999999986</v>
      </c>
    </row>
    <row r="86" spans="1:3" ht="31.5" x14ac:dyDescent="0.25">
      <c r="A86" s="60"/>
      <c r="B86" s="61" t="s">
        <v>92</v>
      </c>
      <c r="C86" s="80">
        <v>132.26</v>
      </c>
    </row>
    <row r="87" spans="1:3" x14ac:dyDescent="0.25">
      <c r="C87" s="86"/>
    </row>
  </sheetData>
  <pageMargins left="0.23" right="0.38" top="0.32" bottom="0.24" header="0.3" footer="0.3"/>
  <pageSetup paperSize="9" scale="55" orientation="portrait" verticalDpi="300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87"/>
  <sheetViews>
    <sheetView zoomScaleNormal="100" workbookViewId="0">
      <selection activeCell="C85" sqref="C85"/>
    </sheetView>
  </sheetViews>
  <sheetFormatPr defaultRowHeight="15.75" x14ac:dyDescent="0.25"/>
  <cols>
    <col min="1" max="1" width="6.85546875" style="1" customWidth="1"/>
    <col min="2" max="2" width="63.5703125" style="3" customWidth="1"/>
    <col min="3" max="3" width="45.7109375" style="3" customWidth="1"/>
  </cols>
  <sheetData>
    <row r="1" spans="1:3" ht="31.5" x14ac:dyDescent="0.25">
      <c r="B1" s="2" t="s">
        <v>87</v>
      </c>
    </row>
    <row r="2" spans="1:3" x14ac:dyDescent="0.25">
      <c r="B2" s="49"/>
    </row>
    <row r="3" spans="1:3" x14ac:dyDescent="0.25">
      <c r="A3" s="4"/>
      <c r="B3" s="46"/>
      <c r="C3" s="46" t="s">
        <v>17</v>
      </c>
    </row>
    <row r="4" spans="1:3" x14ac:dyDescent="0.25">
      <c r="A4" s="5" t="s">
        <v>24</v>
      </c>
      <c r="B4" s="6" t="s">
        <v>25</v>
      </c>
      <c r="C4" s="6" t="s">
        <v>26</v>
      </c>
    </row>
    <row r="5" spans="1:3" x14ac:dyDescent="0.25">
      <c r="A5" s="4"/>
      <c r="B5" s="46" t="s">
        <v>27</v>
      </c>
      <c r="C5" s="46">
        <v>7.73</v>
      </c>
    </row>
    <row r="6" spans="1:3" ht="31.5" x14ac:dyDescent="0.25">
      <c r="A6" s="20"/>
      <c r="B6" s="25" t="s">
        <v>89</v>
      </c>
      <c r="C6" s="17">
        <v>375.07</v>
      </c>
    </row>
    <row r="7" spans="1:3" ht="20.25" x14ac:dyDescent="0.3">
      <c r="A7" s="8">
        <v>1</v>
      </c>
      <c r="B7" s="9" t="s">
        <v>28</v>
      </c>
      <c r="C7" s="7">
        <f t="shared" ref="C7" si="0">C8+C9+C10</f>
        <v>2591.4648000000002</v>
      </c>
    </row>
    <row r="8" spans="1:3" ht="20.25" x14ac:dyDescent="0.3">
      <c r="A8" s="8">
        <v>2</v>
      </c>
      <c r="B8" s="10" t="s">
        <v>29</v>
      </c>
      <c r="C8" s="12">
        <f>25.73*7.73*12</f>
        <v>2386.7148000000002</v>
      </c>
    </row>
    <row r="9" spans="1:3" ht="20.25" x14ac:dyDescent="0.3">
      <c r="A9" s="8">
        <v>3</v>
      </c>
      <c r="B9" s="13" t="s">
        <v>30</v>
      </c>
      <c r="C9" s="11">
        <v>168.77</v>
      </c>
    </row>
    <row r="10" spans="1:3" ht="20.25" x14ac:dyDescent="0.3">
      <c r="A10" s="8">
        <v>4</v>
      </c>
      <c r="B10" s="13" t="s">
        <v>31</v>
      </c>
      <c r="C10" s="11">
        <f t="shared" ref="C10" si="1">C11+C12+C13+C14+C15+C16+C18</f>
        <v>35.979999999999997</v>
      </c>
    </row>
    <row r="11" spans="1:3" x14ac:dyDescent="0.25">
      <c r="A11" s="30"/>
      <c r="B11" s="33" t="s">
        <v>32</v>
      </c>
      <c r="C11" s="17"/>
    </row>
    <row r="12" spans="1:3" x14ac:dyDescent="0.25">
      <c r="A12" s="30"/>
      <c r="B12" s="33" t="s">
        <v>33</v>
      </c>
      <c r="C12" s="17">
        <v>11.53</v>
      </c>
    </row>
    <row r="13" spans="1:3" ht="30" x14ac:dyDescent="0.25">
      <c r="A13" s="30"/>
      <c r="B13" s="33" t="s">
        <v>34</v>
      </c>
      <c r="C13" s="17"/>
    </row>
    <row r="14" spans="1:3" x14ac:dyDescent="0.25">
      <c r="A14" s="30"/>
      <c r="B14" s="33" t="s">
        <v>35</v>
      </c>
      <c r="C14" s="37">
        <v>19.09</v>
      </c>
    </row>
    <row r="15" spans="1:3" x14ac:dyDescent="0.25">
      <c r="A15" s="30"/>
      <c r="B15" s="28" t="s">
        <v>36</v>
      </c>
      <c r="C15" s="17">
        <v>2.5099999999999998</v>
      </c>
    </row>
    <row r="16" spans="1:3" x14ac:dyDescent="0.25">
      <c r="A16" s="30"/>
      <c r="B16" s="33" t="s">
        <v>37</v>
      </c>
      <c r="C16" s="17">
        <v>2.4</v>
      </c>
    </row>
    <row r="17" spans="1:3" x14ac:dyDescent="0.25">
      <c r="A17" s="48"/>
      <c r="B17" s="33" t="s">
        <v>95</v>
      </c>
      <c r="C17" s="17">
        <v>4.2</v>
      </c>
    </row>
    <row r="18" spans="1:3" x14ac:dyDescent="0.25">
      <c r="A18" s="47"/>
      <c r="B18" s="28" t="s">
        <v>38</v>
      </c>
      <c r="C18" s="17">
        <v>0.45</v>
      </c>
    </row>
    <row r="19" spans="1:3" x14ac:dyDescent="0.25">
      <c r="A19" s="47"/>
      <c r="B19" s="28" t="s">
        <v>101</v>
      </c>
      <c r="C19" s="17">
        <v>7.12</v>
      </c>
    </row>
    <row r="20" spans="1:3" x14ac:dyDescent="0.25">
      <c r="A20" s="47"/>
      <c r="B20" s="28" t="s">
        <v>102</v>
      </c>
      <c r="C20" s="17">
        <v>5.85</v>
      </c>
    </row>
    <row r="21" spans="1:3" ht="18.75" x14ac:dyDescent="0.25">
      <c r="A21" s="14"/>
      <c r="B21" s="15" t="s">
        <v>39</v>
      </c>
      <c r="C21" s="16">
        <f t="shared" ref="C21" si="2">C7/C22*100</f>
        <v>100.10739044011846</v>
      </c>
    </row>
    <row r="22" spans="1:3" ht="20.25" x14ac:dyDescent="0.3">
      <c r="A22" s="8">
        <v>1</v>
      </c>
      <c r="B22" s="9" t="s">
        <v>40</v>
      </c>
      <c r="C22" s="7">
        <f t="shared" ref="C22" si="3">C23+C24+C25</f>
        <v>2588.6848</v>
      </c>
    </row>
    <row r="23" spans="1:3" ht="20.25" x14ac:dyDescent="0.3">
      <c r="A23" s="8">
        <v>2</v>
      </c>
      <c r="B23" s="10" t="s">
        <v>29</v>
      </c>
      <c r="C23" s="12">
        <f>25.73*7.73*12</f>
        <v>2386.7148000000002</v>
      </c>
    </row>
    <row r="24" spans="1:3" ht="20.25" x14ac:dyDescent="0.3">
      <c r="A24" s="8">
        <v>3</v>
      </c>
      <c r="B24" s="13" t="s">
        <v>30</v>
      </c>
      <c r="C24" s="11">
        <v>169.22</v>
      </c>
    </row>
    <row r="25" spans="1:3" ht="20.25" x14ac:dyDescent="0.3">
      <c r="A25" s="8">
        <v>4</v>
      </c>
      <c r="B25" s="13" t="s">
        <v>31</v>
      </c>
      <c r="C25" s="11">
        <f t="shared" ref="C25" si="4">C26+C27+C28+C29+C30+C31+C32</f>
        <v>32.75</v>
      </c>
    </row>
    <row r="26" spans="1:3" x14ac:dyDescent="0.25">
      <c r="A26" s="30"/>
      <c r="B26" s="33" t="s">
        <v>32</v>
      </c>
      <c r="C26" s="17"/>
    </row>
    <row r="27" spans="1:3" x14ac:dyDescent="0.25">
      <c r="A27" s="30"/>
      <c r="B27" s="33" t="s">
        <v>33</v>
      </c>
      <c r="C27" s="17">
        <v>11.53</v>
      </c>
    </row>
    <row r="28" spans="1:3" ht="30" x14ac:dyDescent="0.25">
      <c r="A28" s="30"/>
      <c r="B28" s="33" t="s">
        <v>34</v>
      </c>
      <c r="C28" s="17"/>
    </row>
    <row r="29" spans="1:3" x14ac:dyDescent="0.25">
      <c r="A29" s="30"/>
      <c r="B29" s="33" t="s">
        <v>35</v>
      </c>
      <c r="C29" s="37">
        <v>16.88</v>
      </c>
    </row>
    <row r="30" spans="1:3" x14ac:dyDescent="0.25">
      <c r="A30" s="30"/>
      <c r="B30" s="28" t="s">
        <v>36</v>
      </c>
      <c r="C30" s="17">
        <v>1.49</v>
      </c>
    </row>
    <row r="31" spans="1:3" x14ac:dyDescent="0.25">
      <c r="A31" s="30"/>
      <c r="B31" s="33" t="s">
        <v>37</v>
      </c>
      <c r="C31" s="17">
        <v>2.4</v>
      </c>
    </row>
    <row r="32" spans="1:3" x14ac:dyDescent="0.25">
      <c r="A32" s="47"/>
      <c r="B32" s="28" t="s">
        <v>38</v>
      </c>
      <c r="C32" s="17">
        <v>0.45</v>
      </c>
    </row>
    <row r="33" spans="1:3" x14ac:dyDescent="0.25">
      <c r="A33" s="47"/>
      <c r="B33" s="33" t="s">
        <v>95</v>
      </c>
      <c r="C33" s="17">
        <v>1.56</v>
      </c>
    </row>
    <row r="34" spans="1:3" x14ac:dyDescent="0.25">
      <c r="A34" s="18"/>
      <c r="B34" s="19" t="s">
        <v>41</v>
      </c>
      <c r="C34" s="11">
        <f t="shared" ref="C34" si="5">C35+C62+C81+C83+C84</f>
        <v>2187.6530000000002</v>
      </c>
    </row>
    <row r="35" spans="1:3" ht="20.25" x14ac:dyDescent="0.25">
      <c r="A35" s="21">
        <v>1</v>
      </c>
      <c r="B35" s="22" t="s">
        <v>42</v>
      </c>
      <c r="C35" s="11">
        <f t="shared" ref="C35" si="6">C36+C38+C39+C40+C41+C48+C59</f>
        <v>1463.893</v>
      </c>
    </row>
    <row r="36" spans="1:3" x14ac:dyDescent="0.25">
      <c r="A36" s="21">
        <v>2</v>
      </c>
      <c r="B36" s="10" t="s">
        <v>43</v>
      </c>
      <c r="C36" s="24">
        <v>436.47</v>
      </c>
    </row>
    <row r="37" spans="1:3" x14ac:dyDescent="0.25">
      <c r="A37" s="21">
        <v>3</v>
      </c>
      <c r="B37" s="13" t="s">
        <v>44</v>
      </c>
      <c r="C37" s="25"/>
    </row>
    <row r="38" spans="1:3" x14ac:dyDescent="0.25">
      <c r="A38" s="21">
        <v>4</v>
      </c>
      <c r="B38" s="26" t="s">
        <v>45</v>
      </c>
      <c r="C38" s="24">
        <v>646.91999999999996</v>
      </c>
    </row>
    <row r="39" spans="1:3" x14ac:dyDescent="0.25">
      <c r="A39" s="21">
        <v>5</v>
      </c>
      <c r="B39" s="26" t="s">
        <v>46</v>
      </c>
      <c r="C39" s="24">
        <v>155.61000000000001</v>
      </c>
    </row>
    <row r="40" spans="1:3" ht="31.5" x14ac:dyDescent="0.25">
      <c r="A40" s="21">
        <v>6</v>
      </c>
      <c r="B40" s="26" t="s">
        <v>47</v>
      </c>
      <c r="C40" s="24">
        <v>26.71</v>
      </c>
    </row>
    <row r="41" spans="1:3" x14ac:dyDescent="0.25">
      <c r="A41" s="21">
        <v>7</v>
      </c>
      <c r="B41" s="27" t="s">
        <v>48</v>
      </c>
      <c r="C41" s="11">
        <f t="shared" ref="C41" si="7">C42+C43+C44+C45+C46+C47</f>
        <v>147.15299999999999</v>
      </c>
    </row>
    <row r="42" spans="1:3" x14ac:dyDescent="0.25">
      <c r="A42" s="21"/>
      <c r="B42" s="28" t="s">
        <v>49</v>
      </c>
      <c r="C42" s="24">
        <f>12.347+32.376+24.96-25</f>
        <v>44.682999999999993</v>
      </c>
    </row>
    <row r="43" spans="1:3" x14ac:dyDescent="0.25">
      <c r="A43" s="21"/>
      <c r="B43" s="28" t="s">
        <v>91</v>
      </c>
      <c r="C43" s="51">
        <f>31.59+37.12</f>
        <v>68.709999999999994</v>
      </c>
    </row>
    <row r="44" spans="1:3" x14ac:dyDescent="0.25">
      <c r="A44" s="30"/>
      <c r="B44" s="28" t="s">
        <v>78</v>
      </c>
      <c r="C44" s="24">
        <v>33.76</v>
      </c>
    </row>
    <row r="45" spans="1:3" x14ac:dyDescent="0.25">
      <c r="A45" s="31"/>
      <c r="B45" s="28" t="s">
        <v>90</v>
      </c>
      <c r="C45" s="24"/>
    </row>
    <row r="46" spans="1:3" x14ac:dyDescent="0.25">
      <c r="A46" s="21"/>
      <c r="B46" s="28" t="s">
        <v>94</v>
      </c>
      <c r="C46" s="24"/>
    </row>
    <row r="47" spans="1:3" x14ac:dyDescent="0.25">
      <c r="A47" s="21"/>
      <c r="B47" s="28" t="s">
        <v>50</v>
      </c>
      <c r="C47" s="24"/>
    </row>
    <row r="48" spans="1:3" ht="47.25" x14ac:dyDescent="0.25">
      <c r="A48" s="21">
        <v>8</v>
      </c>
      <c r="B48" s="27" t="s">
        <v>51</v>
      </c>
      <c r="C48" s="11">
        <f t="shared" ref="C48" si="8">C49+C50+C51+C52+C53+C54+C55+C56</f>
        <v>37.67</v>
      </c>
    </row>
    <row r="49" spans="1:3" x14ac:dyDescent="0.25">
      <c r="A49" s="21"/>
      <c r="B49" s="32" t="s">
        <v>52</v>
      </c>
      <c r="C49" s="24">
        <v>11.36</v>
      </c>
    </row>
    <row r="50" spans="1:3" x14ac:dyDescent="0.25">
      <c r="A50" s="21"/>
      <c r="B50" s="32" t="s">
        <v>53</v>
      </c>
      <c r="C50" s="24">
        <v>3.06</v>
      </c>
    </row>
    <row r="51" spans="1:3" x14ac:dyDescent="0.25">
      <c r="A51" s="21"/>
      <c r="B51" s="32" t="s">
        <v>54</v>
      </c>
      <c r="C51" s="24">
        <v>5.43</v>
      </c>
    </row>
    <row r="52" spans="1:3" x14ac:dyDescent="0.25">
      <c r="A52" s="21"/>
      <c r="B52" s="32" t="s">
        <v>55</v>
      </c>
      <c r="C52" s="24">
        <v>7.36</v>
      </c>
    </row>
    <row r="53" spans="1:3" x14ac:dyDescent="0.25">
      <c r="A53" s="21"/>
      <c r="B53" s="32" t="s">
        <v>93</v>
      </c>
      <c r="C53" s="24"/>
    </row>
    <row r="54" spans="1:3" x14ac:dyDescent="0.25">
      <c r="A54" s="21"/>
      <c r="B54" s="28" t="s">
        <v>56</v>
      </c>
      <c r="C54" s="24">
        <v>2.4</v>
      </c>
    </row>
    <row r="55" spans="1:3" x14ac:dyDescent="0.25">
      <c r="A55" s="21"/>
      <c r="B55" s="28" t="s">
        <v>96</v>
      </c>
      <c r="C55" s="24">
        <v>6.97</v>
      </c>
    </row>
    <row r="56" spans="1:3" x14ac:dyDescent="0.25">
      <c r="A56" s="21"/>
      <c r="B56" s="28" t="s">
        <v>97</v>
      </c>
      <c r="C56" s="24">
        <v>1.0900000000000001</v>
      </c>
    </row>
    <row r="57" spans="1:3" x14ac:dyDescent="0.25">
      <c r="A57" s="21"/>
      <c r="B57" s="28" t="s">
        <v>103</v>
      </c>
      <c r="C57" s="24"/>
    </row>
    <row r="58" spans="1:3" x14ac:dyDescent="0.25">
      <c r="A58" s="21"/>
      <c r="B58" s="28" t="s">
        <v>104</v>
      </c>
      <c r="C58" s="24">
        <v>4.74</v>
      </c>
    </row>
    <row r="59" spans="1:3" x14ac:dyDescent="0.25">
      <c r="A59" s="21">
        <v>9</v>
      </c>
      <c r="B59" s="26" t="s">
        <v>57</v>
      </c>
      <c r="C59" s="34">
        <f t="shared" ref="C59" si="9">C60+C61</f>
        <v>13.360000000000001</v>
      </c>
    </row>
    <row r="60" spans="1:3" x14ac:dyDescent="0.25">
      <c r="A60" s="21"/>
      <c r="B60" s="33" t="s">
        <v>58</v>
      </c>
      <c r="C60" s="24">
        <v>9.4600000000000009</v>
      </c>
    </row>
    <row r="61" spans="1:3" x14ac:dyDescent="0.25">
      <c r="A61" s="21"/>
      <c r="B61" s="33" t="s">
        <v>59</v>
      </c>
      <c r="C61" s="24">
        <v>3.9</v>
      </c>
    </row>
    <row r="62" spans="1:3" x14ac:dyDescent="0.25">
      <c r="A62" s="21">
        <v>10</v>
      </c>
      <c r="B62" s="10" t="s">
        <v>60</v>
      </c>
      <c r="C62" s="11">
        <f t="shared" ref="C62" si="10">C63+C64+C65+C66+C69</f>
        <v>468.21</v>
      </c>
    </row>
    <row r="63" spans="1:3" x14ac:dyDescent="0.25">
      <c r="A63" s="21">
        <v>11</v>
      </c>
      <c r="B63" s="10" t="s">
        <v>61</v>
      </c>
      <c r="C63" s="24">
        <v>102.57</v>
      </c>
    </row>
    <row r="64" spans="1:3" x14ac:dyDescent="0.25">
      <c r="A64" s="21">
        <v>12</v>
      </c>
      <c r="B64" s="35" t="s">
        <v>62</v>
      </c>
      <c r="C64" s="24">
        <v>271.45</v>
      </c>
    </row>
    <row r="65" spans="1:3" x14ac:dyDescent="0.25">
      <c r="A65" s="21">
        <v>13</v>
      </c>
      <c r="B65" s="35" t="s">
        <v>46</v>
      </c>
      <c r="C65" s="24">
        <v>63.94</v>
      </c>
    </row>
    <row r="66" spans="1:3" x14ac:dyDescent="0.25">
      <c r="A66" s="21">
        <v>14</v>
      </c>
      <c r="B66" s="27" t="s">
        <v>63</v>
      </c>
      <c r="C66" s="11">
        <f t="shared" ref="C66" si="11">C68</f>
        <v>4.43</v>
      </c>
    </row>
    <row r="67" spans="1:3" x14ac:dyDescent="0.25">
      <c r="A67" s="50"/>
      <c r="B67" s="32" t="s">
        <v>99</v>
      </c>
      <c r="C67" s="24">
        <v>8.6999999999999993</v>
      </c>
    </row>
    <row r="68" spans="1:3" x14ac:dyDescent="0.25">
      <c r="A68" s="21"/>
      <c r="B68" s="35" t="s">
        <v>64</v>
      </c>
      <c r="C68" s="24">
        <v>4.43</v>
      </c>
    </row>
    <row r="69" spans="1:3" x14ac:dyDescent="0.25">
      <c r="A69" s="21">
        <v>15</v>
      </c>
      <c r="B69" s="13" t="s">
        <v>65</v>
      </c>
      <c r="C69" s="11">
        <f t="shared" ref="C69" si="12">C70+C71+C72+C73+C74+C75+C76+C77+C78+C79+C80+C82</f>
        <v>25.82</v>
      </c>
    </row>
    <row r="70" spans="1:3" x14ac:dyDescent="0.25">
      <c r="A70" s="21"/>
      <c r="B70" s="33" t="s">
        <v>66</v>
      </c>
      <c r="C70" s="24">
        <v>0.27</v>
      </c>
    </row>
    <row r="71" spans="1:3" x14ac:dyDescent="0.25">
      <c r="A71" s="21"/>
      <c r="B71" s="33" t="s">
        <v>67</v>
      </c>
      <c r="C71" s="24">
        <v>7.14</v>
      </c>
    </row>
    <row r="72" spans="1:3" x14ac:dyDescent="0.25">
      <c r="A72" s="21"/>
      <c r="B72" s="33" t="s">
        <v>68</v>
      </c>
      <c r="C72" s="24">
        <v>3.54</v>
      </c>
    </row>
    <row r="73" spans="1:3" x14ac:dyDescent="0.25">
      <c r="A73" s="36"/>
      <c r="B73" s="33" t="s">
        <v>69</v>
      </c>
      <c r="C73" s="24">
        <v>2.94</v>
      </c>
    </row>
    <row r="74" spans="1:3" x14ac:dyDescent="0.25">
      <c r="A74" s="36"/>
      <c r="B74" s="33" t="s">
        <v>70</v>
      </c>
      <c r="C74" s="37">
        <v>0.37</v>
      </c>
    </row>
    <row r="75" spans="1:3" x14ac:dyDescent="0.25">
      <c r="A75" s="36"/>
      <c r="B75" s="33" t="s">
        <v>71</v>
      </c>
      <c r="C75" s="37">
        <v>0.99</v>
      </c>
    </row>
    <row r="76" spans="1:3" x14ac:dyDescent="0.25">
      <c r="A76" s="36"/>
      <c r="B76" s="33" t="s">
        <v>72</v>
      </c>
      <c r="C76" s="37">
        <v>0.51</v>
      </c>
    </row>
    <row r="77" spans="1:3" x14ac:dyDescent="0.25">
      <c r="A77" s="21"/>
      <c r="B77" s="33" t="s">
        <v>98</v>
      </c>
      <c r="C77" s="24">
        <v>4.91</v>
      </c>
    </row>
    <row r="78" spans="1:3" x14ac:dyDescent="0.25">
      <c r="A78" s="21"/>
      <c r="B78" s="33" t="s">
        <v>73</v>
      </c>
      <c r="C78" s="24">
        <v>0.19</v>
      </c>
    </row>
    <row r="79" spans="1:3" x14ac:dyDescent="0.25">
      <c r="A79" s="21"/>
      <c r="B79" s="33" t="s">
        <v>100</v>
      </c>
      <c r="C79" s="24">
        <v>0.03</v>
      </c>
    </row>
    <row r="80" spans="1:3" x14ac:dyDescent="0.25">
      <c r="A80" s="38"/>
      <c r="B80" s="33" t="s">
        <v>74</v>
      </c>
      <c r="C80" s="24">
        <v>4.4800000000000004</v>
      </c>
    </row>
    <row r="81" spans="1:3" x14ac:dyDescent="0.25">
      <c r="A81" s="39"/>
      <c r="B81" s="33" t="s">
        <v>75</v>
      </c>
      <c r="C81" s="24">
        <v>69.430000000000007</v>
      </c>
    </row>
    <row r="82" spans="1:3" ht="30" x14ac:dyDescent="0.25">
      <c r="A82" s="39"/>
      <c r="B82" s="35" t="s">
        <v>76</v>
      </c>
      <c r="C82" s="24">
        <v>0.45</v>
      </c>
    </row>
    <row r="83" spans="1:3" x14ac:dyDescent="0.25">
      <c r="A83" s="40">
        <v>18</v>
      </c>
      <c r="B83" s="26" t="s">
        <v>77</v>
      </c>
      <c r="C83" s="24">
        <v>35.6</v>
      </c>
    </row>
    <row r="84" spans="1:3" ht="18" x14ac:dyDescent="0.25">
      <c r="A84" s="41">
        <v>19</v>
      </c>
      <c r="B84" s="13" t="s">
        <v>30</v>
      </c>
      <c r="C84" s="23">
        <v>150.52000000000001</v>
      </c>
    </row>
    <row r="85" spans="1:3" ht="29.25" x14ac:dyDescent="0.25">
      <c r="A85" s="42"/>
      <c r="B85" s="43" t="s">
        <v>85</v>
      </c>
      <c r="C85" s="44">
        <f t="shared" ref="C85" si="13">C22-C34</f>
        <v>401.03179999999975</v>
      </c>
    </row>
    <row r="86" spans="1:3" ht="31.5" x14ac:dyDescent="0.25">
      <c r="A86" s="4"/>
      <c r="B86" s="46" t="s">
        <v>92</v>
      </c>
      <c r="C86" s="11">
        <v>432.04</v>
      </c>
    </row>
    <row r="87" spans="1:3" x14ac:dyDescent="0.25">
      <c r="C87" s="29"/>
    </row>
  </sheetData>
  <pageMargins left="0.7" right="0.37" top="0.2" bottom="0.2" header="0.2" footer="0.2"/>
  <pageSetup paperSize="9" scale="57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71" zoomScale="60" zoomScaleNormal="100" workbookViewId="0">
      <selection activeCell="Q24" sqref="Q24"/>
    </sheetView>
  </sheetViews>
  <sheetFormatPr defaultRowHeight="15.75" x14ac:dyDescent="0.25"/>
  <cols>
    <col min="1" max="1" width="6.85546875" style="52" customWidth="1"/>
    <col min="2" max="2" width="81" style="55" customWidth="1"/>
    <col min="3" max="3" width="41.570312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5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6.35</v>
      </c>
    </row>
    <row r="6" spans="1:3" ht="31.5" x14ac:dyDescent="0.25">
      <c r="A6" s="67"/>
      <c r="B6" s="68" t="s">
        <v>89</v>
      </c>
      <c r="C6" s="70">
        <v>392.99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2129.8160000000003</v>
      </c>
    </row>
    <row r="8" spans="1:3" ht="31.5" x14ac:dyDescent="0.3">
      <c r="A8" s="72">
        <v>2</v>
      </c>
      <c r="B8" s="76" t="s">
        <v>29</v>
      </c>
      <c r="C8" s="78">
        <f>25.73*6.35*12</f>
        <v>1960.6260000000002</v>
      </c>
    </row>
    <row r="9" spans="1:3" ht="31.5" x14ac:dyDescent="0.3">
      <c r="A9" s="72">
        <v>3</v>
      </c>
      <c r="B9" s="79" t="s">
        <v>30</v>
      </c>
      <c r="C9" s="80">
        <v>138.63999999999999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30.55</v>
      </c>
    </row>
    <row r="11" spans="1:3" ht="30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9.48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15.68</v>
      </c>
    </row>
    <row r="15" spans="1:3" x14ac:dyDescent="0.25">
      <c r="A15" s="81"/>
      <c r="B15" s="88" t="s">
        <v>36</v>
      </c>
      <c r="C15" s="70">
        <v>1.44</v>
      </c>
    </row>
    <row r="16" spans="1:3" ht="30" x14ac:dyDescent="0.25">
      <c r="A16" s="81"/>
      <c r="B16" s="82" t="s">
        <v>37</v>
      </c>
      <c r="C16" s="70">
        <f>1.2+0.45</f>
        <v>1.65</v>
      </c>
    </row>
    <row r="17" spans="1:3" x14ac:dyDescent="0.25">
      <c r="A17" s="89"/>
      <c r="B17" s="82" t="s">
        <v>95</v>
      </c>
      <c r="C17" s="70">
        <v>3.4</v>
      </c>
    </row>
    <row r="18" spans="1:3" x14ac:dyDescent="0.25">
      <c r="A18" s="90"/>
      <c r="B18" s="88" t="s">
        <v>38</v>
      </c>
      <c r="C18" s="70">
        <v>2.2999999999999998</v>
      </c>
    </row>
    <row r="19" spans="1:3" x14ac:dyDescent="0.25">
      <c r="A19" s="90"/>
      <c r="B19" s="88" t="s">
        <v>101</v>
      </c>
      <c r="C19" s="70">
        <v>5.85</v>
      </c>
    </row>
    <row r="20" spans="1:3" x14ac:dyDescent="0.25">
      <c r="A20" s="90"/>
      <c r="B20" s="88" t="s">
        <v>102</v>
      </c>
      <c r="C20" s="70">
        <v>4.0999999999999996</v>
      </c>
    </row>
    <row r="21" spans="1:3" ht="18.75" x14ac:dyDescent="0.25">
      <c r="A21" s="92"/>
      <c r="B21" s="93" t="s">
        <v>39</v>
      </c>
      <c r="C21" s="94">
        <f t="shared" ref="C21" si="2">C7/C22*100</f>
        <v>99.989671536067931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2130.0360000000005</v>
      </c>
    </row>
    <row r="23" spans="1:3" ht="31.5" x14ac:dyDescent="0.3">
      <c r="A23" s="72">
        <v>2</v>
      </c>
      <c r="B23" s="76" t="s">
        <v>29</v>
      </c>
      <c r="C23" s="78">
        <f>25.73*6.35*12</f>
        <v>1960.6260000000002</v>
      </c>
    </row>
    <row r="24" spans="1:3" ht="31.5" x14ac:dyDescent="0.3">
      <c r="A24" s="72">
        <v>3</v>
      </c>
      <c r="B24" s="79" t="s">
        <v>30</v>
      </c>
      <c r="C24" s="80">
        <v>139.01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30.4</v>
      </c>
    </row>
    <row r="26" spans="1:3" ht="30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9.48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16.09</v>
      </c>
    </row>
    <row r="30" spans="1:3" x14ac:dyDescent="0.25">
      <c r="A30" s="81"/>
      <c r="B30" s="88" t="s">
        <v>36</v>
      </c>
      <c r="C30" s="70">
        <v>1.33</v>
      </c>
    </row>
    <row r="31" spans="1:3" ht="30" x14ac:dyDescent="0.25">
      <c r="A31" s="81"/>
      <c r="B31" s="82" t="s">
        <v>37</v>
      </c>
      <c r="C31" s="70">
        <f>1.2</f>
        <v>1.2</v>
      </c>
    </row>
    <row r="32" spans="1:3" x14ac:dyDescent="0.25">
      <c r="A32" s="90"/>
      <c r="B32" s="88" t="s">
        <v>38</v>
      </c>
      <c r="C32" s="70">
        <v>2.2999999999999998</v>
      </c>
    </row>
    <row r="33" spans="1:3" x14ac:dyDescent="0.25">
      <c r="A33" s="90"/>
      <c r="B33" s="82" t="s">
        <v>95</v>
      </c>
      <c r="C33" s="70">
        <v>1.28</v>
      </c>
    </row>
    <row r="34" spans="1:3" x14ac:dyDescent="0.25">
      <c r="A34" s="98"/>
      <c r="B34" s="99" t="s">
        <v>41</v>
      </c>
      <c r="C34" s="80">
        <f t="shared" ref="C34" si="5">C35+C62+C81+C83+C84</f>
        <v>1754.6640000000002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1160.0640000000001</v>
      </c>
    </row>
    <row r="36" spans="1:3" x14ac:dyDescent="0.25">
      <c r="A36" s="100">
        <v>2</v>
      </c>
      <c r="B36" s="76" t="s">
        <v>43</v>
      </c>
      <c r="C36" s="51">
        <v>358.55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531.42999999999995</v>
      </c>
    </row>
    <row r="39" spans="1:3" x14ac:dyDescent="0.25">
      <c r="A39" s="100">
        <v>5</v>
      </c>
      <c r="B39" s="102" t="s">
        <v>46</v>
      </c>
      <c r="C39" s="51">
        <v>167.83</v>
      </c>
    </row>
    <row r="40" spans="1:3" ht="47.25" x14ac:dyDescent="0.25">
      <c r="A40" s="100">
        <v>6</v>
      </c>
      <c r="B40" s="102" t="s">
        <v>47</v>
      </c>
      <c r="C40" s="51">
        <v>21.94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38.963999999999999</v>
      </c>
    </row>
    <row r="42" spans="1:3" x14ac:dyDescent="0.25">
      <c r="A42" s="100"/>
      <c r="B42" s="88" t="s">
        <v>49</v>
      </c>
      <c r="C42" s="51">
        <f>16.224-5</f>
        <v>11.224</v>
      </c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27.74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30.18</v>
      </c>
    </row>
    <row r="49" spans="1:3" x14ac:dyDescent="0.25">
      <c r="A49" s="100"/>
      <c r="B49" s="106" t="s">
        <v>52</v>
      </c>
      <c r="C49" s="51">
        <v>8.5299999999999994</v>
      </c>
    </row>
    <row r="50" spans="1:3" x14ac:dyDescent="0.25">
      <c r="A50" s="100"/>
      <c r="B50" s="106" t="s">
        <v>53</v>
      </c>
      <c r="C50" s="51">
        <v>2.56</v>
      </c>
    </row>
    <row r="51" spans="1:3" x14ac:dyDescent="0.25">
      <c r="A51" s="100"/>
      <c r="B51" s="106" t="s">
        <v>54</v>
      </c>
      <c r="C51" s="51">
        <v>4.46</v>
      </c>
    </row>
    <row r="52" spans="1:3" x14ac:dyDescent="0.25">
      <c r="A52" s="100"/>
      <c r="B52" s="106" t="s">
        <v>55</v>
      </c>
      <c r="C52" s="51">
        <v>6.05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1.97</v>
      </c>
    </row>
    <row r="55" spans="1:3" x14ac:dyDescent="0.25">
      <c r="A55" s="100"/>
      <c r="B55" s="88" t="s">
        <v>96</v>
      </c>
      <c r="C55" s="51">
        <v>5.72</v>
      </c>
    </row>
    <row r="56" spans="1:3" x14ac:dyDescent="0.25">
      <c r="A56" s="100"/>
      <c r="B56" s="88" t="s">
        <v>97</v>
      </c>
      <c r="C56" s="51">
        <v>0.89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3.89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11.17</v>
      </c>
    </row>
    <row r="60" spans="1:3" x14ac:dyDescent="0.25">
      <c r="A60" s="100"/>
      <c r="B60" s="82" t="s">
        <v>58</v>
      </c>
      <c r="C60" s="51">
        <v>7.77</v>
      </c>
    </row>
    <row r="61" spans="1:3" x14ac:dyDescent="0.25">
      <c r="A61" s="100"/>
      <c r="B61" s="82" t="s">
        <v>59</v>
      </c>
      <c r="C61" s="51">
        <v>3.4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384.71</v>
      </c>
    </row>
    <row r="63" spans="1:3" x14ac:dyDescent="0.25">
      <c r="A63" s="100">
        <v>11</v>
      </c>
      <c r="B63" s="76" t="s">
        <v>61</v>
      </c>
      <c r="C63" s="51">
        <v>84.26</v>
      </c>
    </row>
    <row r="64" spans="1:3" x14ac:dyDescent="0.25">
      <c r="A64" s="100">
        <v>12</v>
      </c>
      <c r="B64" s="108" t="s">
        <v>62</v>
      </c>
      <c r="C64" s="51">
        <v>222.99</v>
      </c>
    </row>
    <row r="65" spans="1:3" x14ac:dyDescent="0.25">
      <c r="A65" s="100">
        <v>13</v>
      </c>
      <c r="B65" s="108" t="s">
        <v>46</v>
      </c>
      <c r="C65" s="51">
        <v>52.53</v>
      </c>
    </row>
    <row r="66" spans="1:3" x14ac:dyDescent="0.25">
      <c r="A66" s="100">
        <v>14</v>
      </c>
      <c r="B66" s="103" t="s">
        <v>63</v>
      </c>
      <c r="C66" s="80">
        <f t="shared" ref="C66" si="11">C68</f>
        <v>3.64</v>
      </c>
    </row>
    <row r="67" spans="1:3" x14ac:dyDescent="0.25">
      <c r="A67" s="109"/>
      <c r="B67" s="106" t="s">
        <v>99</v>
      </c>
      <c r="C67" s="51">
        <v>7.15</v>
      </c>
    </row>
    <row r="68" spans="1:3" x14ac:dyDescent="0.25">
      <c r="A68" s="100"/>
      <c r="B68" s="108" t="s">
        <v>64</v>
      </c>
      <c r="C68" s="51">
        <v>3.64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21.290000000000003</v>
      </c>
    </row>
    <row r="70" spans="1:3" x14ac:dyDescent="0.25">
      <c r="A70" s="100"/>
      <c r="B70" s="82" t="s">
        <v>66</v>
      </c>
      <c r="C70" s="51">
        <v>0.3</v>
      </c>
    </row>
    <row r="71" spans="1:3" x14ac:dyDescent="0.25">
      <c r="A71" s="100"/>
      <c r="B71" s="82" t="s">
        <v>67</v>
      </c>
      <c r="C71" s="51">
        <v>5.86</v>
      </c>
    </row>
    <row r="72" spans="1:3" ht="30" x14ac:dyDescent="0.25">
      <c r="A72" s="100"/>
      <c r="B72" s="82" t="s">
        <v>68</v>
      </c>
      <c r="C72" s="51">
        <v>2.91</v>
      </c>
    </row>
    <row r="73" spans="1:3" ht="30" x14ac:dyDescent="0.25">
      <c r="A73" s="112"/>
      <c r="B73" s="82" t="s">
        <v>69</v>
      </c>
      <c r="C73" s="51">
        <v>2.42</v>
      </c>
    </row>
    <row r="74" spans="1:3" x14ac:dyDescent="0.25">
      <c r="A74" s="112"/>
      <c r="B74" s="82" t="s">
        <v>70</v>
      </c>
      <c r="C74" s="87">
        <v>0.3</v>
      </c>
    </row>
    <row r="75" spans="1:3" x14ac:dyDescent="0.25">
      <c r="A75" s="112"/>
      <c r="B75" s="82" t="s">
        <v>71</v>
      </c>
      <c r="C75" s="87">
        <v>0.82</v>
      </c>
    </row>
    <row r="76" spans="1:3" x14ac:dyDescent="0.25">
      <c r="A76" s="112"/>
      <c r="B76" s="82" t="s">
        <v>72</v>
      </c>
      <c r="C76" s="87">
        <v>0.42</v>
      </c>
    </row>
    <row r="77" spans="1:3" ht="30" x14ac:dyDescent="0.25">
      <c r="A77" s="100"/>
      <c r="B77" s="82" t="s">
        <v>98</v>
      </c>
      <c r="C77" s="51">
        <v>4.03</v>
      </c>
    </row>
    <row r="78" spans="1:3" x14ac:dyDescent="0.25">
      <c r="A78" s="100"/>
      <c r="B78" s="82" t="s">
        <v>73</v>
      </c>
      <c r="C78" s="51">
        <v>0.16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3.68</v>
      </c>
    </row>
    <row r="81" spans="1:3" x14ac:dyDescent="0.25">
      <c r="A81" s="114"/>
      <c r="B81" s="82" t="s">
        <v>75</v>
      </c>
      <c r="C81" s="51">
        <v>57.04</v>
      </c>
    </row>
    <row r="82" spans="1:3" ht="30" x14ac:dyDescent="0.25">
      <c r="A82" s="114"/>
      <c r="B82" s="108" t="s">
        <v>76</v>
      </c>
      <c r="C82" s="51">
        <v>0.37</v>
      </c>
    </row>
    <row r="83" spans="1:3" x14ac:dyDescent="0.25">
      <c r="A83" s="115">
        <v>18</v>
      </c>
      <c r="B83" s="102" t="s">
        <v>77</v>
      </c>
      <c r="C83" s="51">
        <v>29.2</v>
      </c>
    </row>
    <row r="84" spans="1:3" ht="31.5" x14ac:dyDescent="0.25">
      <c r="A84" s="116">
        <v>19</v>
      </c>
      <c r="B84" s="79" t="s">
        <v>30</v>
      </c>
      <c r="C84" s="117">
        <v>123.65</v>
      </c>
    </row>
    <row r="85" spans="1:3" ht="29.25" x14ac:dyDescent="0.25">
      <c r="A85" s="118"/>
      <c r="B85" s="119" t="s">
        <v>105</v>
      </c>
      <c r="C85" s="120">
        <f t="shared" ref="C85" si="13">C22-C34</f>
        <v>375.3720000000003</v>
      </c>
    </row>
    <row r="86" spans="1:3" ht="31.5" x14ac:dyDescent="0.25">
      <c r="A86" s="60"/>
      <c r="B86" s="61" t="s">
        <v>92</v>
      </c>
      <c r="C86" s="80">
        <v>380.73</v>
      </c>
    </row>
    <row r="87" spans="1:3" x14ac:dyDescent="0.25">
      <c r="C87" s="86"/>
    </row>
  </sheetData>
  <pageMargins left="0.7" right="0.7" top="0.33" bottom="0.26" header="0.3" footer="0.3"/>
  <pageSetup paperSize="9" scale="56" orientation="portrait" verticalDpi="300" r:id="rId1"/>
  <rowBreaks count="1" manualBreakCount="1">
    <brk id="6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34" zoomScale="60" zoomScaleNormal="100" workbookViewId="0">
      <selection activeCell="E9" sqref="E9"/>
    </sheetView>
  </sheetViews>
  <sheetFormatPr defaultRowHeight="15.75" x14ac:dyDescent="0.25"/>
  <cols>
    <col min="1" max="1" width="6.85546875" style="52" customWidth="1"/>
    <col min="2" max="2" width="71.85546875" style="55" customWidth="1"/>
    <col min="3" max="3" width="51.4257812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4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8.4700000000000006</v>
      </c>
    </row>
    <row r="6" spans="1:3" ht="31.5" x14ac:dyDescent="0.25">
      <c r="A6" s="67"/>
      <c r="B6" s="68" t="s">
        <v>89</v>
      </c>
      <c r="C6" s="70">
        <v>381.82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2856.9602622000002</v>
      </c>
    </row>
    <row r="8" spans="1:3" ht="31.5" x14ac:dyDescent="0.3">
      <c r="A8" s="72">
        <v>2</v>
      </c>
      <c r="B8" s="76" t="s">
        <v>29</v>
      </c>
      <c r="C8" s="78">
        <f>25.73*8.47*12</f>
        <v>2615.1972000000005</v>
      </c>
    </row>
    <row r="9" spans="1:3" ht="31.5" x14ac:dyDescent="0.3">
      <c r="A9" s="72">
        <v>3</v>
      </c>
      <c r="B9" s="79" t="s">
        <v>30</v>
      </c>
      <c r="C9" s="80">
        <v>184.93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56.833062200000001</v>
      </c>
    </row>
    <row r="11" spans="1:3" ht="30" x14ac:dyDescent="0.25">
      <c r="A11" s="81"/>
      <c r="B11" s="82" t="s">
        <v>32</v>
      </c>
      <c r="C11" s="70">
        <f>0.03542*25.73*17</f>
        <v>15.493062200000001</v>
      </c>
    </row>
    <row r="12" spans="1:3" x14ac:dyDescent="0.25">
      <c r="A12" s="81"/>
      <c r="B12" s="82" t="s">
        <v>33</v>
      </c>
      <c r="C12" s="70">
        <v>12.64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20.92</v>
      </c>
    </row>
    <row r="15" spans="1:3" x14ac:dyDescent="0.25">
      <c r="A15" s="81"/>
      <c r="B15" s="88" t="s">
        <v>36</v>
      </c>
      <c r="C15" s="70">
        <v>1.93</v>
      </c>
    </row>
    <row r="16" spans="1:3" ht="30" x14ac:dyDescent="0.25">
      <c r="A16" s="81"/>
      <c r="B16" s="82" t="s">
        <v>37</v>
      </c>
      <c r="C16" s="70">
        <f>2.4+0.45</f>
        <v>2.85</v>
      </c>
    </row>
    <row r="17" spans="1:3" x14ac:dyDescent="0.25">
      <c r="A17" s="89"/>
      <c r="B17" s="82" t="s">
        <v>95</v>
      </c>
      <c r="C17" s="70">
        <v>4.5999999999999996</v>
      </c>
    </row>
    <row r="18" spans="1:3" x14ac:dyDescent="0.25">
      <c r="A18" s="90"/>
      <c r="B18" s="88" t="s">
        <v>38</v>
      </c>
      <c r="C18" s="70">
        <v>3</v>
      </c>
    </row>
    <row r="19" spans="1:3" x14ac:dyDescent="0.25">
      <c r="A19" s="90"/>
      <c r="B19" s="88" t="s">
        <v>101</v>
      </c>
      <c r="C19" s="70">
        <v>7.8</v>
      </c>
    </row>
    <row r="20" spans="1:3" x14ac:dyDescent="0.25">
      <c r="A20" s="90"/>
      <c r="B20" s="88" t="s">
        <v>102</v>
      </c>
      <c r="C20" s="70">
        <v>6.35</v>
      </c>
    </row>
    <row r="21" spans="1:3" ht="18.75" x14ac:dyDescent="0.25">
      <c r="A21" s="92"/>
      <c r="B21" s="93" t="s">
        <v>39</v>
      </c>
      <c r="C21" s="94">
        <f t="shared" ref="C21" si="2">C7/C22*100</f>
        <v>100.09389407324471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2854.2802622000004</v>
      </c>
    </row>
    <row r="23" spans="1:3" ht="31.5" x14ac:dyDescent="0.3">
      <c r="A23" s="72">
        <v>2</v>
      </c>
      <c r="B23" s="76" t="s">
        <v>29</v>
      </c>
      <c r="C23" s="78">
        <f>25.73*8.47*12</f>
        <v>2615.1972000000005</v>
      </c>
    </row>
    <row r="24" spans="1:3" ht="31.5" x14ac:dyDescent="0.3">
      <c r="A24" s="72">
        <v>3</v>
      </c>
      <c r="B24" s="79" t="s">
        <v>30</v>
      </c>
      <c r="C24" s="80">
        <v>185.42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53.663062199999999</v>
      </c>
    </row>
    <row r="26" spans="1:3" ht="30" x14ac:dyDescent="0.25">
      <c r="A26" s="81"/>
      <c r="B26" s="82" t="s">
        <v>32</v>
      </c>
      <c r="C26" s="70">
        <f>0.03542*25.73*17</f>
        <v>15.493062200000001</v>
      </c>
    </row>
    <row r="27" spans="1:3" x14ac:dyDescent="0.25">
      <c r="A27" s="81"/>
      <c r="B27" s="82" t="s">
        <v>33</v>
      </c>
      <c r="C27" s="70">
        <v>12.64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18.5</v>
      </c>
    </row>
    <row r="30" spans="1:3" x14ac:dyDescent="0.25">
      <c r="A30" s="81"/>
      <c r="B30" s="88" t="s">
        <v>36</v>
      </c>
      <c r="C30" s="70">
        <v>1.63</v>
      </c>
    </row>
    <row r="31" spans="1:3" ht="30" x14ac:dyDescent="0.25">
      <c r="A31" s="81"/>
      <c r="B31" s="82" t="s">
        <v>37</v>
      </c>
      <c r="C31" s="70">
        <f>2.4</f>
        <v>2.4</v>
      </c>
    </row>
    <row r="32" spans="1:3" x14ac:dyDescent="0.25">
      <c r="A32" s="90"/>
      <c r="B32" s="88" t="s">
        <v>38</v>
      </c>
      <c r="C32" s="70">
        <v>3</v>
      </c>
    </row>
    <row r="33" spans="1:3" x14ac:dyDescent="0.25">
      <c r="A33" s="90"/>
      <c r="B33" s="82" t="s">
        <v>95</v>
      </c>
      <c r="C33" s="70">
        <v>1.71</v>
      </c>
    </row>
    <row r="34" spans="1:3" x14ac:dyDescent="0.25">
      <c r="A34" s="98"/>
      <c r="B34" s="99" t="s">
        <v>41</v>
      </c>
      <c r="C34" s="80">
        <f t="shared" ref="C34" si="5">C35+C62+C81+C83+C84</f>
        <v>2304.9799999999996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1511.85</v>
      </c>
    </row>
    <row r="36" spans="1:3" x14ac:dyDescent="0.25">
      <c r="A36" s="100">
        <v>2</v>
      </c>
      <c r="B36" s="76" t="s">
        <v>43</v>
      </c>
      <c r="C36" s="51">
        <v>478.25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708.85</v>
      </c>
    </row>
    <row r="39" spans="1:3" x14ac:dyDescent="0.25">
      <c r="A39" s="100">
        <v>5</v>
      </c>
      <c r="B39" s="102" t="s">
        <v>46</v>
      </c>
      <c r="C39" s="51">
        <v>170.51</v>
      </c>
    </row>
    <row r="40" spans="1:3" ht="47.25" x14ac:dyDescent="0.25">
      <c r="A40" s="100">
        <v>6</v>
      </c>
      <c r="B40" s="102" t="s">
        <v>47</v>
      </c>
      <c r="C40" s="51">
        <v>29.27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70.27000000000001</v>
      </c>
    </row>
    <row r="42" spans="1:3" x14ac:dyDescent="0.25">
      <c r="A42" s="100"/>
      <c r="B42" s="88" t="s">
        <v>49</v>
      </c>
      <c r="C42" s="51">
        <f>43.27-10</f>
        <v>33.270000000000003</v>
      </c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37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40.24</v>
      </c>
    </row>
    <row r="49" spans="1:3" x14ac:dyDescent="0.25">
      <c r="A49" s="100"/>
      <c r="B49" s="106" t="s">
        <v>52</v>
      </c>
      <c r="C49" s="51">
        <v>11.38</v>
      </c>
    </row>
    <row r="50" spans="1:3" x14ac:dyDescent="0.25">
      <c r="A50" s="100"/>
      <c r="B50" s="106" t="s">
        <v>53</v>
      </c>
      <c r="C50" s="51">
        <v>3.41</v>
      </c>
    </row>
    <row r="51" spans="1:3" x14ac:dyDescent="0.25">
      <c r="A51" s="100"/>
      <c r="B51" s="106" t="s">
        <v>54</v>
      </c>
      <c r="C51" s="51">
        <v>5.94</v>
      </c>
    </row>
    <row r="52" spans="1:3" x14ac:dyDescent="0.25">
      <c r="A52" s="100"/>
      <c r="B52" s="106" t="s">
        <v>55</v>
      </c>
      <c r="C52" s="51">
        <v>8.07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2.62</v>
      </c>
    </row>
    <row r="55" spans="1:3" x14ac:dyDescent="0.25">
      <c r="A55" s="100"/>
      <c r="B55" s="88" t="s">
        <v>96</v>
      </c>
      <c r="C55" s="51">
        <v>7.63</v>
      </c>
    </row>
    <row r="56" spans="1:3" x14ac:dyDescent="0.25">
      <c r="A56" s="100"/>
      <c r="B56" s="88" t="s">
        <v>97</v>
      </c>
      <c r="C56" s="51">
        <v>1.19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5.19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14.459999999999999</v>
      </c>
    </row>
    <row r="60" spans="1:3" x14ac:dyDescent="0.25">
      <c r="A60" s="100"/>
      <c r="B60" s="82" t="s">
        <v>58</v>
      </c>
      <c r="C60" s="51">
        <v>10.36</v>
      </c>
    </row>
    <row r="61" spans="1:3" x14ac:dyDescent="0.25">
      <c r="A61" s="100"/>
      <c r="B61" s="82" t="s">
        <v>59</v>
      </c>
      <c r="C61" s="51">
        <v>4.0999999999999996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513.12</v>
      </c>
    </row>
    <row r="63" spans="1:3" x14ac:dyDescent="0.25">
      <c r="A63" s="100">
        <v>11</v>
      </c>
      <c r="B63" s="76" t="s">
        <v>61</v>
      </c>
      <c r="C63" s="51">
        <v>112.38</v>
      </c>
    </row>
    <row r="64" spans="1:3" x14ac:dyDescent="0.25">
      <c r="A64" s="100">
        <v>12</v>
      </c>
      <c r="B64" s="108" t="s">
        <v>62</v>
      </c>
      <c r="C64" s="51">
        <v>297.44</v>
      </c>
    </row>
    <row r="65" spans="1:3" x14ac:dyDescent="0.25">
      <c r="A65" s="100">
        <v>13</v>
      </c>
      <c r="B65" s="108" t="s">
        <v>46</v>
      </c>
      <c r="C65" s="51">
        <v>70.06</v>
      </c>
    </row>
    <row r="66" spans="1:3" x14ac:dyDescent="0.25">
      <c r="A66" s="100">
        <v>14</v>
      </c>
      <c r="B66" s="103" t="s">
        <v>63</v>
      </c>
      <c r="C66" s="80">
        <f t="shared" ref="C66" si="11">C68</f>
        <v>4.8499999999999996</v>
      </c>
    </row>
    <row r="67" spans="1:3" x14ac:dyDescent="0.25">
      <c r="A67" s="109"/>
      <c r="B67" s="106" t="s">
        <v>99</v>
      </c>
      <c r="C67" s="51">
        <v>9.5399999999999991</v>
      </c>
    </row>
    <row r="68" spans="1:3" x14ac:dyDescent="0.25">
      <c r="A68" s="100"/>
      <c r="B68" s="108" t="s">
        <v>64</v>
      </c>
      <c r="C68" s="51">
        <v>4.8499999999999996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28.39</v>
      </c>
    </row>
    <row r="70" spans="1:3" x14ac:dyDescent="0.25">
      <c r="A70" s="100"/>
      <c r="B70" s="82" t="s">
        <v>66</v>
      </c>
      <c r="C70" s="51">
        <v>0.4</v>
      </c>
    </row>
    <row r="71" spans="1:3" x14ac:dyDescent="0.25">
      <c r="A71" s="100"/>
      <c r="B71" s="82" t="s">
        <v>67</v>
      </c>
      <c r="C71" s="51">
        <v>7.82</v>
      </c>
    </row>
    <row r="72" spans="1:3" ht="30" x14ac:dyDescent="0.25">
      <c r="A72" s="100"/>
      <c r="B72" s="82" t="s">
        <v>68</v>
      </c>
      <c r="C72" s="51">
        <v>3.88</v>
      </c>
    </row>
    <row r="73" spans="1:3" ht="30" x14ac:dyDescent="0.25">
      <c r="A73" s="112"/>
      <c r="B73" s="82" t="s">
        <v>69</v>
      </c>
      <c r="C73" s="51">
        <v>3.22</v>
      </c>
    </row>
    <row r="74" spans="1:3" x14ac:dyDescent="0.25">
      <c r="A74" s="112"/>
      <c r="B74" s="82" t="s">
        <v>70</v>
      </c>
      <c r="C74" s="87">
        <v>0.4</v>
      </c>
    </row>
    <row r="75" spans="1:3" x14ac:dyDescent="0.25">
      <c r="A75" s="112"/>
      <c r="B75" s="82" t="s">
        <v>71</v>
      </c>
      <c r="C75" s="87">
        <v>1.0900000000000001</v>
      </c>
    </row>
    <row r="76" spans="1:3" x14ac:dyDescent="0.25">
      <c r="A76" s="112"/>
      <c r="B76" s="82" t="s">
        <v>72</v>
      </c>
      <c r="C76" s="87">
        <v>0.56000000000000005</v>
      </c>
    </row>
    <row r="77" spans="1:3" ht="30" x14ac:dyDescent="0.25">
      <c r="A77" s="100"/>
      <c r="B77" s="82" t="s">
        <v>98</v>
      </c>
      <c r="C77" s="51">
        <v>5.38</v>
      </c>
    </row>
    <row r="78" spans="1:3" x14ac:dyDescent="0.25">
      <c r="A78" s="100"/>
      <c r="B78" s="82" t="s">
        <v>73</v>
      </c>
      <c r="C78" s="51">
        <v>0.21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4.9000000000000004</v>
      </c>
    </row>
    <row r="81" spans="1:3" x14ac:dyDescent="0.25">
      <c r="A81" s="114"/>
      <c r="B81" s="82" t="s">
        <v>75</v>
      </c>
      <c r="C81" s="51">
        <v>76.08</v>
      </c>
    </row>
    <row r="82" spans="1:3" ht="30" x14ac:dyDescent="0.25">
      <c r="A82" s="114"/>
      <c r="B82" s="108" t="s">
        <v>76</v>
      </c>
      <c r="C82" s="51">
        <v>0.5</v>
      </c>
    </row>
    <row r="83" spans="1:3" x14ac:dyDescent="0.25">
      <c r="A83" s="115">
        <v>18</v>
      </c>
      <c r="B83" s="102" t="s">
        <v>77</v>
      </c>
      <c r="C83" s="51">
        <v>39</v>
      </c>
    </row>
    <row r="84" spans="1:3" ht="31.5" x14ac:dyDescent="0.25">
      <c r="A84" s="116">
        <v>19</v>
      </c>
      <c r="B84" s="79" t="s">
        <v>30</v>
      </c>
      <c r="C84" s="117">
        <v>164.93</v>
      </c>
    </row>
    <row r="85" spans="1:3" ht="29.25" x14ac:dyDescent="0.25">
      <c r="A85" s="118"/>
      <c r="B85" s="119" t="s">
        <v>105</v>
      </c>
      <c r="C85" s="120">
        <f t="shared" ref="C85" si="13">C22-C34</f>
        <v>549.30026220000082</v>
      </c>
    </row>
    <row r="86" spans="1:3" ht="31.5" x14ac:dyDescent="0.25">
      <c r="A86" s="60"/>
      <c r="B86" s="61" t="s">
        <v>92</v>
      </c>
      <c r="C86" s="80">
        <v>428.43</v>
      </c>
    </row>
    <row r="87" spans="1:3" x14ac:dyDescent="0.25">
      <c r="C87" s="86"/>
    </row>
  </sheetData>
  <pageMargins left="0.7" right="0.7" top="0.33" bottom="0.26" header="0.3" footer="0.3"/>
  <pageSetup paperSize="9" scale="53" orientation="portrait" verticalDpi="300" r:id="rId1"/>
  <rowBreaks count="1" manualBreakCount="1">
    <brk id="7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C3" sqref="C3"/>
    </sheetView>
  </sheetViews>
  <sheetFormatPr defaultRowHeight="15.75" x14ac:dyDescent="0.25"/>
  <cols>
    <col min="1" max="1" width="6.85546875" style="52" customWidth="1"/>
    <col min="2" max="2" width="75.42578125" style="55" customWidth="1"/>
    <col min="3" max="3" width="46.4257812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3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5.17</v>
      </c>
    </row>
    <row r="6" spans="1:3" ht="31.5" x14ac:dyDescent="0.25">
      <c r="A6" s="67"/>
      <c r="B6" s="68" t="s">
        <v>89</v>
      </c>
      <c r="C6" s="70">
        <v>124.99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1735.3792000000003</v>
      </c>
    </row>
    <row r="8" spans="1:3" ht="31.5" x14ac:dyDescent="0.3">
      <c r="A8" s="72">
        <v>2</v>
      </c>
      <c r="B8" s="76" t="s">
        <v>29</v>
      </c>
      <c r="C8" s="78">
        <f>25.73*5.17*12</f>
        <v>1596.2892000000002</v>
      </c>
    </row>
    <row r="9" spans="1:3" ht="31.5" x14ac:dyDescent="0.3">
      <c r="A9" s="72">
        <v>3</v>
      </c>
      <c r="B9" s="79" t="s">
        <v>30</v>
      </c>
      <c r="C9" s="80">
        <v>112.88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26.21</v>
      </c>
    </row>
    <row r="11" spans="1:3" ht="30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7.71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12.77</v>
      </c>
    </row>
    <row r="15" spans="1:3" x14ac:dyDescent="0.25">
      <c r="A15" s="81"/>
      <c r="B15" s="88" t="s">
        <v>36</v>
      </c>
      <c r="C15" s="70">
        <v>1.18</v>
      </c>
    </row>
    <row r="16" spans="1:3" ht="30" x14ac:dyDescent="0.25">
      <c r="A16" s="81"/>
      <c r="B16" s="82" t="s">
        <v>37</v>
      </c>
      <c r="C16" s="70">
        <f>1.8+0.45</f>
        <v>2.25</v>
      </c>
    </row>
    <row r="17" spans="1:3" x14ac:dyDescent="0.25">
      <c r="A17" s="89"/>
      <c r="B17" s="82" t="s">
        <v>95</v>
      </c>
      <c r="C17" s="70">
        <v>2.8</v>
      </c>
    </row>
    <row r="18" spans="1:3" x14ac:dyDescent="0.25">
      <c r="A18" s="90"/>
      <c r="B18" s="88" t="s">
        <v>38</v>
      </c>
      <c r="C18" s="70">
        <v>2.2999999999999998</v>
      </c>
    </row>
    <row r="19" spans="1:3" x14ac:dyDescent="0.25">
      <c r="A19" s="90"/>
      <c r="B19" s="88" t="s">
        <v>101</v>
      </c>
      <c r="C19" s="70">
        <v>4.76</v>
      </c>
    </row>
    <row r="20" spans="1:3" x14ac:dyDescent="0.25">
      <c r="A20" s="90"/>
      <c r="B20" s="88" t="s">
        <v>102</v>
      </c>
      <c r="C20" s="70">
        <v>3.25</v>
      </c>
    </row>
    <row r="21" spans="1:3" ht="18.75" x14ac:dyDescent="0.25">
      <c r="A21" s="92"/>
      <c r="B21" s="93" t="s">
        <v>39</v>
      </c>
      <c r="C21" s="94">
        <f t="shared" ref="C21" si="2">C7/C22*100</f>
        <v>99.84523055813888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1738.0692000000001</v>
      </c>
    </row>
    <row r="23" spans="1:3" ht="31.5" x14ac:dyDescent="0.3">
      <c r="A23" s="72">
        <v>2</v>
      </c>
      <c r="B23" s="76" t="s">
        <v>29</v>
      </c>
      <c r="C23" s="78">
        <f>25.73*5.17*12</f>
        <v>1596.2892000000002</v>
      </c>
    </row>
    <row r="24" spans="1:3" ht="31.5" x14ac:dyDescent="0.3">
      <c r="A24" s="72">
        <v>3</v>
      </c>
      <c r="B24" s="79" t="s">
        <v>30</v>
      </c>
      <c r="C24" s="80">
        <v>113.18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28.6</v>
      </c>
    </row>
    <row r="26" spans="1:3" ht="30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7.71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15.29</v>
      </c>
    </row>
    <row r="30" spans="1:3" x14ac:dyDescent="0.25">
      <c r="A30" s="81"/>
      <c r="B30" s="88" t="s">
        <v>36</v>
      </c>
      <c r="C30" s="70">
        <v>1.5</v>
      </c>
    </row>
    <row r="31" spans="1:3" ht="30" x14ac:dyDescent="0.25">
      <c r="A31" s="81"/>
      <c r="B31" s="82" t="s">
        <v>37</v>
      </c>
      <c r="C31" s="70">
        <f>1.8</f>
        <v>1.8</v>
      </c>
    </row>
    <row r="32" spans="1:3" x14ac:dyDescent="0.25">
      <c r="A32" s="90"/>
      <c r="B32" s="88" t="s">
        <v>38</v>
      </c>
      <c r="C32" s="70">
        <v>2.2999999999999998</v>
      </c>
    </row>
    <row r="33" spans="1:3" x14ac:dyDescent="0.25">
      <c r="A33" s="90"/>
      <c r="B33" s="82" t="s">
        <v>95</v>
      </c>
      <c r="C33" s="70">
        <v>1.05</v>
      </c>
    </row>
    <row r="34" spans="1:3" x14ac:dyDescent="0.25">
      <c r="A34" s="98"/>
      <c r="B34" s="99" t="s">
        <v>41</v>
      </c>
      <c r="C34" s="80">
        <f t="shared" ref="C34" si="5">C35+C62+C81+C83+C84</f>
        <v>2309.2600000000002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1825.1399999999999</v>
      </c>
    </row>
    <row r="36" spans="1:3" x14ac:dyDescent="0.25">
      <c r="A36" s="100">
        <v>2</v>
      </c>
      <c r="B36" s="76" t="s">
        <v>43</v>
      </c>
      <c r="C36" s="51">
        <v>291.92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432.67</v>
      </c>
    </row>
    <row r="39" spans="1:3" x14ac:dyDescent="0.25">
      <c r="A39" s="100">
        <v>5</v>
      </c>
      <c r="B39" s="102" t="s">
        <v>46</v>
      </c>
      <c r="C39" s="51">
        <v>134.08000000000001</v>
      </c>
    </row>
    <row r="40" spans="1:3" ht="47.25" x14ac:dyDescent="0.25">
      <c r="A40" s="100">
        <v>6</v>
      </c>
      <c r="B40" s="102" t="s">
        <v>47</v>
      </c>
      <c r="C40" s="51">
        <v>17.86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914.97</v>
      </c>
    </row>
    <row r="42" spans="1:3" x14ac:dyDescent="0.25">
      <c r="A42" s="100"/>
      <c r="B42" s="88" t="s">
        <v>49</v>
      </c>
      <c r="C42" s="104">
        <f>64.06+37.758+21.378-25-5</f>
        <v>93.196000000000012</v>
      </c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22.58</v>
      </c>
    </row>
    <row r="45" spans="1:3" x14ac:dyDescent="0.25">
      <c r="A45" s="105"/>
      <c r="B45" s="88" t="s">
        <v>90</v>
      </c>
      <c r="C45" s="51">
        <v>435</v>
      </c>
    </row>
    <row r="46" spans="1:3" x14ac:dyDescent="0.25">
      <c r="A46" s="100"/>
      <c r="B46" s="88" t="s">
        <v>94</v>
      </c>
      <c r="C46" s="51">
        <v>364.19400000000002</v>
      </c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24.620000000000005</v>
      </c>
    </row>
    <row r="49" spans="1:3" x14ac:dyDescent="0.25">
      <c r="A49" s="100"/>
      <c r="B49" s="106" t="s">
        <v>52</v>
      </c>
      <c r="C49" s="51">
        <v>6.94</v>
      </c>
    </row>
    <row r="50" spans="1:3" x14ac:dyDescent="0.25">
      <c r="A50" s="100"/>
      <c r="B50" s="106" t="s">
        <v>53</v>
      </c>
      <c r="C50" s="51">
        <v>2.14</v>
      </c>
    </row>
    <row r="51" spans="1:3" x14ac:dyDescent="0.25">
      <c r="A51" s="100"/>
      <c r="B51" s="106" t="s">
        <v>54</v>
      </c>
      <c r="C51" s="51">
        <v>3.63</v>
      </c>
    </row>
    <row r="52" spans="1:3" x14ac:dyDescent="0.25">
      <c r="A52" s="100"/>
      <c r="B52" s="106" t="s">
        <v>55</v>
      </c>
      <c r="C52" s="51">
        <v>4.92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1.6</v>
      </c>
    </row>
    <row r="55" spans="1:3" x14ac:dyDescent="0.25">
      <c r="A55" s="100"/>
      <c r="B55" s="88" t="s">
        <v>96</v>
      </c>
      <c r="C55" s="51">
        <v>4.66</v>
      </c>
    </row>
    <row r="56" spans="1:3" x14ac:dyDescent="0.25">
      <c r="A56" s="100"/>
      <c r="B56" s="88" t="s">
        <v>97</v>
      </c>
      <c r="C56" s="51">
        <v>0.73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3.17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9.02</v>
      </c>
    </row>
    <row r="60" spans="1:3" x14ac:dyDescent="0.25">
      <c r="A60" s="100"/>
      <c r="B60" s="82" t="s">
        <v>58</v>
      </c>
      <c r="C60" s="51">
        <v>6.32</v>
      </c>
    </row>
    <row r="61" spans="1:3" x14ac:dyDescent="0.25">
      <c r="A61" s="100"/>
      <c r="B61" s="82" t="s">
        <v>59</v>
      </c>
      <c r="C61" s="51">
        <v>2.7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313.20999999999998</v>
      </c>
    </row>
    <row r="63" spans="1:3" x14ac:dyDescent="0.25">
      <c r="A63" s="100">
        <v>11</v>
      </c>
      <c r="B63" s="76" t="s">
        <v>61</v>
      </c>
      <c r="C63" s="51">
        <v>68.599999999999994</v>
      </c>
    </row>
    <row r="64" spans="1:3" x14ac:dyDescent="0.25">
      <c r="A64" s="100">
        <v>12</v>
      </c>
      <c r="B64" s="108" t="s">
        <v>62</v>
      </c>
      <c r="C64" s="51">
        <v>181.55</v>
      </c>
    </row>
    <row r="65" spans="1:3" x14ac:dyDescent="0.25">
      <c r="A65" s="100">
        <v>13</v>
      </c>
      <c r="B65" s="108" t="s">
        <v>46</v>
      </c>
      <c r="C65" s="51">
        <v>42.77</v>
      </c>
    </row>
    <row r="66" spans="1:3" x14ac:dyDescent="0.25">
      <c r="A66" s="100">
        <v>14</v>
      </c>
      <c r="B66" s="103" t="s">
        <v>63</v>
      </c>
      <c r="C66" s="80">
        <f t="shared" ref="C66" si="11">C68</f>
        <v>2.96</v>
      </c>
    </row>
    <row r="67" spans="1:3" x14ac:dyDescent="0.25">
      <c r="A67" s="109"/>
      <c r="B67" s="106" t="s">
        <v>99</v>
      </c>
      <c r="C67" s="51">
        <v>5.82</v>
      </c>
    </row>
    <row r="68" spans="1:3" x14ac:dyDescent="0.25">
      <c r="A68" s="100"/>
      <c r="B68" s="108" t="s">
        <v>64</v>
      </c>
      <c r="C68" s="51">
        <v>2.96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17.330000000000002</v>
      </c>
    </row>
    <row r="70" spans="1:3" x14ac:dyDescent="0.25">
      <c r="A70" s="100"/>
      <c r="B70" s="82" t="s">
        <v>66</v>
      </c>
      <c r="C70" s="51">
        <v>0.25</v>
      </c>
    </row>
    <row r="71" spans="1:3" x14ac:dyDescent="0.25">
      <c r="A71" s="100"/>
      <c r="B71" s="82" t="s">
        <v>67</v>
      </c>
      <c r="C71" s="51">
        <v>4.7699999999999996</v>
      </c>
    </row>
    <row r="72" spans="1:3" ht="30" x14ac:dyDescent="0.25">
      <c r="A72" s="100"/>
      <c r="B72" s="82" t="s">
        <v>68</v>
      </c>
      <c r="C72" s="51">
        <v>2.37</v>
      </c>
    </row>
    <row r="73" spans="1:3" ht="30" x14ac:dyDescent="0.25">
      <c r="A73" s="112"/>
      <c r="B73" s="82" t="s">
        <v>69</v>
      </c>
      <c r="C73" s="51">
        <v>1.97</v>
      </c>
    </row>
    <row r="74" spans="1:3" x14ac:dyDescent="0.25">
      <c r="A74" s="112"/>
      <c r="B74" s="82" t="s">
        <v>70</v>
      </c>
      <c r="C74" s="87">
        <v>0.25</v>
      </c>
    </row>
    <row r="75" spans="1:3" x14ac:dyDescent="0.25">
      <c r="A75" s="112"/>
      <c r="B75" s="82" t="s">
        <v>71</v>
      </c>
      <c r="C75" s="87">
        <v>0.66</v>
      </c>
    </row>
    <row r="76" spans="1:3" x14ac:dyDescent="0.25">
      <c r="A76" s="112"/>
      <c r="B76" s="82" t="s">
        <v>72</v>
      </c>
      <c r="C76" s="87">
        <v>0.34</v>
      </c>
    </row>
    <row r="77" spans="1:3" ht="30" x14ac:dyDescent="0.25">
      <c r="A77" s="100"/>
      <c r="B77" s="82" t="s">
        <v>98</v>
      </c>
      <c r="C77" s="51">
        <v>3.28</v>
      </c>
    </row>
    <row r="78" spans="1:3" x14ac:dyDescent="0.25">
      <c r="A78" s="100"/>
      <c r="B78" s="82" t="s">
        <v>73</v>
      </c>
      <c r="C78" s="51">
        <v>0.13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2.99</v>
      </c>
    </row>
    <row r="81" spans="1:3" x14ac:dyDescent="0.25">
      <c r="A81" s="114"/>
      <c r="B81" s="82" t="s">
        <v>75</v>
      </c>
      <c r="C81" s="51">
        <v>46.44</v>
      </c>
    </row>
    <row r="82" spans="1:3" ht="30" x14ac:dyDescent="0.25">
      <c r="A82" s="114"/>
      <c r="B82" s="108" t="s">
        <v>76</v>
      </c>
      <c r="C82" s="51">
        <v>0.3</v>
      </c>
    </row>
    <row r="83" spans="1:3" x14ac:dyDescent="0.25">
      <c r="A83" s="115">
        <v>18</v>
      </c>
      <c r="B83" s="102" t="s">
        <v>77</v>
      </c>
      <c r="C83" s="51">
        <v>23.8</v>
      </c>
    </row>
    <row r="84" spans="1:3" ht="31.5" x14ac:dyDescent="0.25">
      <c r="A84" s="116">
        <v>19</v>
      </c>
      <c r="B84" s="79" t="s">
        <v>30</v>
      </c>
      <c r="C84" s="117">
        <v>100.67</v>
      </c>
    </row>
    <row r="85" spans="1:3" ht="29.25" x14ac:dyDescent="0.25">
      <c r="A85" s="118"/>
      <c r="B85" s="119" t="s">
        <v>105</v>
      </c>
      <c r="C85" s="120">
        <f t="shared" ref="C85" si="13">C22-C34</f>
        <v>-571.19080000000008</v>
      </c>
    </row>
    <row r="86" spans="1:3" ht="31.5" x14ac:dyDescent="0.25">
      <c r="A86" s="60"/>
      <c r="B86" s="61" t="s">
        <v>92</v>
      </c>
      <c r="C86" s="80">
        <v>159.34</v>
      </c>
    </row>
    <row r="87" spans="1:3" x14ac:dyDescent="0.25">
      <c r="C87" s="86"/>
    </row>
  </sheetData>
  <pageMargins left="0.7" right="0.7" top="0.3" bottom="0.27" header="0.3" footer="0.3"/>
  <pageSetup paperSize="9" scale="54" orientation="portrait" verticalDpi="300" r:id="rId1"/>
  <rowBreaks count="1" manualBreakCount="1">
    <brk id="7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18" zoomScale="60" zoomScaleNormal="100" workbookViewId="0">
      <selection activeCell="J18" sqref="J18"/>
    </sheetView>
  </sheetViews>
  <sheetFormatPr defaultRowHeight="15.75" x14ac:dyDescent="0.25"/>
  <cols>
    <col min="1" max="1" width="6.85546875" style="52" customWidth="1"/>
    <col min="2" max="2" width="73.5703125" style="55" customWidth="1"/>
    <col min="3" max="3" width="38.2851562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1" t="s">
        <v>83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8.1300000000000008</v>
      </c>
    </row>
    <row r="6" spans="1:3" ht="31.5" x14ac:dyDescent="0.25">
      <c r="A6" s="67"/>
      <c r="B6" s="68" t="s">
        <v>89</v>
      </c>
      <c r="C6" s="70">
        <v>376.47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2741.7446538000008</v>
      </c>
    </row>
    <row r="8" spans="1:3" ht="31.5" x14ac:dyDescent="0.3">
      <c r="A8" s="72">
        <v>2</v>
      </c>
      <c r="B8" s="76" t="s">
        <v>29</v>
      </c>
      <c r="C8" s="78">
        <f>25.73*8.13*12</f>
        <v>2510.2188000000006</v>
      </c>
    </row>
    <row r="9" spans="1:3" ht="31.5" x14ac:dyDescent="0.3">
      <c r="A9" s="72">
        <v>3</v>
      </c>
      <c r="B9" s="79" t="s">
        <v>30</v>
      </c>
      <c r="C9" s="80">
        <v>177.51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54.015853800000002</v>
      </c>
    </row>
    <row r="11" spans="1:3" ht="30" x14ac:dyDescent="0.25">
      <c r="A11" s="81"/>
      <c r="B11" s="82" t="s">
        <v>32</v>
      </c>
      <c r="C11" s="70">
        <f>0.03218*25.73*17</f>
        <v>14.075853800000001</v>
      </c>
    </row>
    <row r="12" spans="1:3" x14ac:dyDescent="0.25">
      <c r="A12" s="81"/>
      <c r="B12" s="82" t="s">
        <v>33</v>
      </c>
      <c r="C12" s="70">
        <v>12.13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20.079999999999998</v>
      </c>
    </row>
    <row r="15" spans="1:3" x14ac:dyDescent="0.25">
      <c r="A15" s="81"/>
      <c r="B15" s="88" t="s">
        <v>36</v>
      </c>
      <c r="C15" s="70">
        <v>1.85</v>
      </c>
    </row>
    <row r="16" spans="1:3" ht="30" x14ac:dyDescent="0.25">
      <c r="A16" s="81"/>
      <c r="B16" s="82" t="s">
        <v>37</v>
      </c>
      <c r="C16" s="70">
        <f>3+1.5</f>
        <v>4.5</v>
      </c>
    </row>
    <row r="17" spans="1:3" x14ac:dyDescent="0.25">
      <c r="A17" s="89"/>
      <c r="B17" s="82" t="s">
        <v>95</v>
      </c>
      <c r="C17" s="70">
        <v>4.4000000000000004</v>
      </c>
    </row>
    <row r="18" spans="1:3" x14ac:dyDescent="0.25">
      <c r="A18" s="90"/>
      <c r="B18" s="88" t="s">
        <v>38</v>
      </c>
      <c r="C18" s="70">
        <v>1.38</v>
      </c>
    </row>
    <row r="19" spans="1:3" x14ac:dyDescent="0.25">
      <c r="A19" s="90"/>
      <c r="B19" s="88" t="s">
        <v>101</v>
      </c>
      <c r="C19" s="70">
        <v>7.48</v>
      </c>
    </row>
    <row r="20" spans="1:3" x14ac:dyDescent="0.25">
      <c r="A20" s="90"/>
      <c r="B20" s="88" t="s">
        <v>102</v>
      </c>
      <c r="C20" s="70">
        <v>5.68</v>
      </c>
    </row>
    <row r="21" spans="1:3" ht="18.75" x14ac:dyDescent="0.25">
      <c r="A21" s="92"/>
      <c r="B21" s="93" t="s">
        <v>39</v>
      </c>
      <c r="C21" s="94">
        <f t="shared" ref="C21" si="2">C7/C22*100</f>
        <v>100.0598517285727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2740.1046538000005</v>
      </c>
    </row>
    <row r="23" spans="1:3" ht="31.5" x14ac:dyDescent="0.3">
      <c r="A23" s="72">
        <v>2</v>
      </c>
      <c r="B23" s="76" t="s">
        <v>29</v>
      </c>
      <c r="C23" s="78">
        <f>25.73*8.13*12</f>
        <v>2510.2188000000006</v>
      </c>
    </row>
    <row r="24" spans="1:3" ht="31.5" x14ac:dyDescent="0.3">
      <c r="A24" s="72">
        <v>3</v>
      </c>
      <c r="B24" s="79" t="s">
        <v>30</v>
      </c>
      <c r="C24" s="80">
        <v>177.98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51.90585380000001</v>
      </c>
    </row>
    <row r="26" spans="1:3" ht="30" x14ac:dyDescent="0.25">
      <c r="A26" s="81"/>
      <c r="B26" s="82" t="s">
        <v>32</v>
      </c>
      <c r="C26" s="70">
        <f>0.03218*25.73*17</f>
        <v>14.075853800000001</v>
      </c>
    </row>
    <row r="27" spans="1:3" x14ac:dyDescent="0.25">
      <c r="A27" s="81"/>
      <c r="B27" s="82" t="s">
        <v>33</v>
      </c>
      <c r="C27" s="70">
        <v>12.13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19.760000000000002</v>
      </c>
    </row>
    <row r="30" spans="1:3" x14ac:dyDescent="0.25">
      <c r="A30" s="81"/>
      <c r="B30" s="88" t="s">
        <v>36</v>
      </c>
      <c r="C30" s="70">
        <v>1.56</v>
      </c>
    </row>
    <row r="31" spans="1:3" ht="30" x14ac:dyDescent="0.25">
      <c r="A31" s="81"/>
      <c r="B31" s="82" t="s">
        <v>37</v>
      </c>
      <c r="C31" s="70">
        <f>3</f>
        <v>3</v>
      </c>
    </row>
    <row r="32" spans="1:3" x14ac:dyDescent="0.25">
      <c r="A32" s="90"/>
      <c r="B32" s="88" t="s">
        <v>38</v>
      </c>
      <c r="C32" s="70">
        <v>1.38</v>
      </c>
    </row>
    <row r="33" spans="1:3" x14ac:dyDescent="0.25">
      <c r="A33" s="90"/>
      <c r="B33" s="82" t="s">
        <v>95</v>
      </c>
      <c r="C33" s="70">
        <v>1.64</v>
      </c>
    </row>
    <row r="34" spans="1:3" x14ac:dyDescent="0.25">
      <c r="A34" s="98"/>
      <c r="B34" s="99" t="s">
        <v>41</v>
      </c>
      <c r="C34" s="80">
        <f t="shared" ref="C34" si="5">C35+C62+C81+C83+C84</f>
        <v>2977.8540000000003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2216.5640000000003</v>
      </c>
    </row>
    <row r="36" spans="1:3" x14ac:dyDescent="0.25">
      <c r="A36" s="100">
        <v>2</v>
      </c>
      <c r="B36" s="76" t="s">
        <v>43</v>
      </c>
      <c r="C36" s="51">
        <v>459.06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680.39</v>
      </c>
    </row>
    <row r="39" spans="1:3" x14ac:dyDescent="0.25">
      <c r="A39" s="100">
        <v>5</v>
      </c>
      <c r="B39" s="102" t="s">
        <v>46</v>
      </c>
      <c r="C39" s="51">
        <v>173.67</v>
      </c>
    </row>
    <row r="40" spans="1:3" ht="47.25" x14ac:dyDescent="0.25">
      <c r="A40" s="100">
        <v>6</v>
      </c>
      <c r="B40" s="102" t="s">
        <v>47</v>
      </c>
      <c r="C40" s="51">
        <v>28.09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821.89400000000001</v>
      </c>
    </row>
    <row r="42" spans="1:3" x14ac:dyDescent="0.25">
      <c r="A42" s="100"/>
      <c r="B42" s="88" t="s">
        <v>49</v>
      </c>
      <c r="C42" s="104">
        <f>10.792</f>
        <v>10.792</v>
      </c>
    </row>
    <row r="43" spans="1:3" x14ac:dyDescent="0.25">
      <c r="A43" s="100"/>
      <c r="B43" s="88" t="s">
        <v>91</v>
      </c>
      <c r="C43" s="51"/>
    </row>
    <row r="44" spans="1:3" ht="30" x14ac:dyDescent="0.25">
      <c r="A44" s="81"/>
      <c r="B44" s="88" t="s">
        <v>78</v>
      </c>
      <c r="C44" s="51">
        <v>35.51</v>
      </c>
    </row>
    <row r="45" spans="1:3" x14ac:dyDescent="0.25">
      <c r="A45" s="105"/>
      <c r="B45" s="88" t="s">
        <v>90</v>
      </c>
      <c r="C45" s="51">
        <v>290</v>
      </c>
    </row>
    <row r="46" spans="1:3" x14ac:dyDescent="0.25">
      <c r="A46" s="100"/>
      <c r="B46" s="88" t="s">
        <v>94</v>
      </c>
      <c r="C46" s="51">
        <v>485.59199999999998</v>
      </c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39.010000000000005</v>
      </c>
    </row>
    <row r="49" spans="1:3" x14ac:dyDescent="0.25">
      <c r="A49" s="100"/>
      <c r="B49" s="106" t="s">
        <v>52</v>
      </c>
      <c r="C49" s="51">
        <v>10.92</v>
      </c>
    </row>
    <row r="50" spans="1:3" x14ac:dyDescent="0.25">
      <c r="A50" s="100"/>
      <c r="B50" s="106" t="s">
        <v>53</v>
      </c>
      <c r="C50" s="51">
        <v>3.65</v>
      </c>
    </row>
    <row r="51" spans="1:3" x14ac:dyDescent="0.25">
      <c r="A51" s="100"/>
      <c r="B51" s="106" t="s">
        <v>54</v>
      </c>
      <c r="C51" s="51">
        <v>5.71</v>
      </c>
    </row>
    <row r="52" spans="1:3" x14ac:dyDescent="0.25">
      <c r="A52" s="100"/>
      <c r="B52" s="106" t="s">
        <v>55</v>
      </c>
      <c r="C52" s="51">
        <v>7.74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2.52</v>
      </c>
    </row>
    <row r="55" spans="1:3" x14ac:dyDescent="0.25">
      <c r="A55" s="100"/>
      <c r="B55" s="88" t="s">
        <v>96</v>
      </c>
      <c r="C55" s="51">
        <v>7.33</v>
      </c>
    </row>
    <row r="56" spans="1:3" x14ac:dyDescent="0.25">
      <c r="A56" s="100"/>
      <c r="B56" s="88" t="s">
        <v>97</v>
      </c>
      <c r="C56" s="51">
        <v>1.1399999999999999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4.99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14.45</v>
      </c>
    </row>
    <row r="60" spans="1:3" x14ac:dyDescent="0.25">
      <c r="A60" s="100"/>
      <c r="B60" s="82" t="s">
        <v>58</v>
      </c>
      <c r="C60" s="51">
        <v>9.9499999999999993</v>
      </c>
    </row>
    <row r="61" spans="1:3" x14ac:dyDescent="0.25">
      <c r="A61" s="100"/>
      <c r="B61" s="82" t="s">
        <v>59</v>
      </c>
      <c r="C61" s="51">
        <v>4.5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492.56</v>
      </c>
    </row>
    <row r="63" spans="1:3" x14ac:dyDescent="0.25">
      <c r="A63" s="100">
        <v>11</v>
      </c>
      <c r="B63" s="76" t="s">
        <v>61</v>
      </c>
      <c r="C63" s="51">
        <v>107.87</v>
      </c>
    </row>
    <row r="64" spans="1:3" x14ac:dyDescent="0.25">
      <c r="A64" s="100">
        <v>12</v>
      </c>
      <c r="B64" s="108" t="s">
        <v>62</v>
      </c>
      <c r="C64" s="51">
        <v>285.5</v>
      </c>
    </row>
    <row r="65" spans="1:3" x14ac:dyDescent="0.25">
      <c r="A65" s="100">
        <v>13</v>
      </c>
      <c r="B65" s="108" t="s">
        <v>46</v>
      </c>
      <c r="C65" s="51">
        <v>67.25</v>
      </c>
    </row>
    <row r="66" spans="1:3" x14ac:dyDescent="0.25">
      <c r="A66" s="100">
        <v>14</v>
      </c>
      <c r="B66" s="103" t="s">
        <v>63</v>
      </c>
      <c r="C66" s="80">
        <f t="shared" ref="C66" si="11">C68</f>
        <v>4.6500000000000004</v>
      </c>
    </row>
    <row r="67" spans="1:3" x14ac:dyDescent="0.25">
      <c r="A67" s="109"/>
      <c r="B67" s="106" t="s">
        <v>99</v>
      </c>
      <c r="C67" s="51">
        <v>9.15</v>
      </c>
    </row>
    <row r="68" spans="1:3" x14ac:dyDescent="0.25">
      <c r="A68" s="100"/>
      <c r="B68" s="108" t="s">
        <v>64</v>
      </c>
      <c r="C68" s="51">
        <v>4.6500000000000004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27.29</v>
      </c>
    </row>
    <row r="70" spans="1:3" x14ac:dyDescent="0.25">
      <c r="A70" s="100"/>
      <c r="B70" s="82" t="s">
        <v>66</v>
      </c>
      <c r="C70" s="51">
        <v>0.39</v>
      </c>
    </row>
    <row r="71" spans="1:3" x14ac:dyDescent="0.25">
      <c r="A71" s="100"/>
      <c r="B71" s="82" t="s">
        <v>67</v>
      </c>
      <c r="C71" s="51">
        <v>7.51</v>
      </c>
    </row>
    <row r="72" spans="1:3" ht="30" x14ac:dyDescent="0.25">
      <c r="A72" s="100"/>
      <c r="B72" s="82" t="s">
        <v>68</v>
      </c>
      <c r="C72" s="51">
        <v>3.73</v>
      </c>
    </row>
    <row r="73" spans="1:3" ht="30" x14ac:dyDescent="0.25">
      <c r="A73" s="112"/>
      <c r="B73" s="82" t="s">
        <v>69</v>
      </c>
      <c r="C73" s="51">
        <v>3.1</v>
      </c>
    </row>
    <row r="74" spans="1:3" x14ac:dyDescent="0.25">
      <c r="A74" s="112"/>
      <c r="B74" s="82" t="s">
        <v>70</v>
      </c>
      <c r="C74" s="87">
        <v>0.39</v>
      </c>
    </row>
    <row r="75" spans="1:3" x14ac:dyDescent="0.25">
      <c r="A75" s="112"/>
      <c r="B75" s="82" t="s">
        <v>71</v>
      </c>
      <c r="C75" s="87">
        <v>1.04</v>
      </c>
    </row>
    <row r="76" spans="1:3" x14ac:dyDescent="0.25">
      <c r="A76" s="112"/>
      <c r="B76" s="82" t="s">
        <v>72</v>
      </c>
      <c r="C76" s="87">
        <v>0.54</v>
      </c>
    </row>
    <row r="77" spans="1:3" ht="30" x14ac:dyDescent="0.25">
      <c r="A77" s="100"/>
      <c r="B77" s="82" t="s">
        <v>98</v>
      </c>
      <c r="C77" s="51">
        <v>5.17</v>
      </c>
    </row>
    <row r="78" spans="1:3" x14ac:dyDescent="0.25">
      <c r="A78" s="100"/>
      <c r="B78" s="82" t="s">
        <v>73</v>
      </c>
      <c r="C78" s="51">
        <v>0.2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4.71</v>
      </c>
    </row>
    <row r="81" spans="1:3" x14ac:dyDescent="0.25">
      <c r="A81" s="114"/>
      <c r="B81" s="82" t="s">
        <v>75</v>
      </c>
      <c r="C81" s="51">
        <v>73.02</v>
      </c>
    </row>
    <row r="82" spans="1:3" ht="30" x14ac:dyDescent="0.25">
      <c r="A82" s="114"/>
      <c r="B82" s="108" t="s">
        <v>76</v>
      </c>
      <c r="C82" s="51">
        <v>0.48</v>
      </c>
    </row>
    <row r="83" spans="1:3" x14ac:dyDescent="0.25">
      <c r="A83" s="115">
        <v>18</v>
      </c>
      <c r="B83" s="102" t="s">
        <v>77</v>
      </c>
      <c r="C83" s="51">
        <v>37.4</v>
      </c>
    </row>
    <row r="84" spans="1:3" ht="31.5" x14ac:dyDescent="0.25">
      <c r="A84" s="116">
        <v>19</v>
      </c>
      <c r="B84" s="79" t="s">
        <v>30</v>
      </c>
      <c r="C84" s="117">
        <v>158.31</v>
      </c>
    </row>
    <row r="85" spans="1:3" ht="29.25" x14ac:dyDescent="0.25">
      <c r="A85" s="118"/>
      <c r="B85" s="119" t="s">
        <v>105</v>
      </c>
      <c r="C85" s="120">
        <f t="shared" ref="C85" si="13">C22-C34</f>
        <v>-237.74934619999976</v>
      </c>
    </row>
    <row r="86" spans="1:3" ht="31.5" x14ac:dyDescent="0.25">
      <c r="A86" s="60"/>
      <c r="B86" s="61" t="s">
        <v>92</v>
      </c>
      <c r="C86" s="80">
        <v>368.26</v>
      </c>
    </row>
    <row r="87" spans="1:3" x14ac:dyDescent="0.25">
      <c r="C87" s="86"/>
    </row>
  </sheetData>
  <pageMargins left="0.7" right="0.7" top="0.32" bottom="0.28999999999999998" header="0.3" footer="0.3"/>
  <pageSetup paperSize="9" scale="52" orientation="portrait" verticalDpi="300" r:id="rId1"/>
  <rowBreaks count="1" manualBreakCount="1">
    <brk id="7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49" zoomScale="60" zoomScaleNormal="100" workbookViewId="0">
      <selection activeCell="C2" sqref="C2"/>
    </sheetView>
  </sheetViews>
  <sheetFormatPr defaultRowHeight="15.75" x14ac:dyDescent="0.25"/>
  <cols>
    <col min="1" max="1" width="6.85546875" style="52" customWidth="1"/>
    <col min="2" max="2" width="78.5703125" style="55" customWidth="1"/>
    <col min="3" max="3" width="43.8554687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ht="31.5" x14ac:dyDescent="0.25">
      <c r="A3" s="60"/>
      <c r="B3" s="61"/>
      <c r="C3" s="62" t="s">
        <v>79</v>
      </c>
    </row>
    <row r="4" spans="1:3" ht="31.5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17.77</v>
      </c>
    </row>
    <row r="6" spans="1:3" ht="31.5" x14ac:dyDescent="0.25">
      <c r="A6" s="67"/>
      <c r="B6" s="68" t="s">
        <v>89</v>
      </c>
      <c r="C6" s="70">
        <v>818.63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6077.3270030000003</v>
      </c>
    </row>
    <row r="8" spans="1:3" ht="31.5" x14ac:dyDescent="0.3">
      <c r="A8" s="72">
        <v>2</v>
      </c>
      <c r="B8" s="76" t="s">
        <v>29</v>
      </c>
      <c r="C8" s="78">
        <f>25.73*17.77*12</f>
        <v>5486.6652000000004</v>
      </c>
    </row>
    <row r="9" spans="1:3" ht="31.5" x14ac:dyDescent="0.3">
      <c r="A9" s="72">
        <v>3</v>
      </c>
      <c r="B9" s="79" t="s">
        <v>30</v>
      </c>
      <c r="C9" s="80">
        <v>352.76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237.90180300000003</v>
      </c>
    </row>
    <row r="11" spans="1:3" ht="30" x14ac:dyDescent="0.25">
      <c r="A11" s="81"/>
      <c r="B11" s="82" t="s">
        <v>32</v>
      </c>
      <c r="C11" s="70">
        <f>0.39674*25.73*15</f>
        <v>153.121803</v>
      </c>
    </row>
    <row r="12" spans="1:3" x14ac:dyDescent="0.25">
      <c r="A12" s="81"/>
      <c r="B12" s="82" t="s">
        <v>33</v>
      </c>
      <c r="C12" s="70">
        <v>26.52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43.89</v>
      </c>
    </row>
    <row r="15" spans="1:3" x14ac:dyDescent="0.25">
      <c r="A15" s="81"/>
      <c r="B15" s="88" t="s">
        <v>36</v>
      </c>
      <c r="C15" s="70">
        <v>4.0199999999999996</v>
      </c>
    </row>
    <row r="16" spans="1:3" ht="30" x14ac:dyDescent="0.25">
      <c r="A16" s="81"/>
      <c r="B16" s="82" t="s">
        <v>37</v>
      </c>
      <c r="C16" s="70">
        <f>5.4+0.45</f>
        <v>5.8500000000000005</v>
      </c>
    </row>
    <row r="17" spans="1:3" x14ac:dyDescent="0.25">
      <c r="A17" s="89"/>
      <c r="B17" s="82" t="s">
        <v>95</v>
      </c>
      <c r="C17" s="70">
        <v>9.6</v>
      </c>
    </row>
    <row r="18" spans="1:3" x14ac:dyDescent="0.25">
      <c r="A18" s="90"/>
      <c r="B18" s="88" t="s">
        <v>38</v>
      </c>
      <c r="C18" s="70">
        <v>4.5</v>
      </c>
    </row>
    <row r="19" spans="1:3" x14ac:dyDescent="0.25">
      <c r="A19" s="90"/>
      <c r="B19" s="88" t="s">
        <v>101</v>
      </c>
      <c r="C19" s="70">
        <v>16.36</v>
      </c>
    </row>
    <row r="20" spans="1:3" x14ac:dyDescent="0.25">
      <c r="A20" s="90"/>
      <c r="B20" s="88" t="s">
        <v>102</v>
      </c>
      <c r="C20" s="70">
        <v>12</v>
      </c>
    </row>
    <row r="21" spans="1:3" ht="18.75" x14ac:dyDescent="0.25">
      <c r="A21" s="92"/>
      <c r="B21" s="93" t="s">
        <v>39</v>
      </c>
      <c r="C21" s="94">
        <f t="shared" ref="C21" si="2">C7/C22*100</f>
        <v>100.00846431559221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6076.8126424000002</v>
      </c>
    </row>
    <row r="23" spans="1:3" ht="31.5" x14ac:dyDescent="0.3">
      <c r="A23" s="72">
        <v>2</v>
      </c>
      <c r="B23" s="76" t="s">
        <v>29</v>
      </c>
      <c r="C23" s="78">
        <f>25.73*17.77*12</f>
        <v>5486.6652000000004</v>
      </c>
    </row>
    <row r="24" spans="1:3" ht="31.5" x14ac:dyDescent="0.3">
      <c r="A24" s="72">
        <v>3</v>
      </c>
      <c r="B24" s="79" t="s">
        <v>30</v>
      </c>
      <c r="C24" s="80">
        <v>389.01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201.1374424</v>
      </c>
    </row>
    <row r="26" spans="1:3" ht="30" x14ac:dyDescent="0.25">
      <c r="A26" s="81"/>
      <c r="B26" s="82" t="s">
        <v>32</v>
      </c>
      <c r="C26" s="70">
        <f>0.39674*25.73*12</f>
        <v>122.4974424</v>
      </c>
    </row>
    <row r="27" spans="1:3" x14ac:dyDescent="0.25">
      <c r="A27" s="81"/>
      <c r="B27" s="82" t="s">
        <v>33</v>
      </c>
      <c r="C27" s="70">
        <v>26.52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38.81</v>
      </c>
    </row>
    <row r="30" spans="1:3" x14ac:dyDescent="0.25">
      <c r="A30" s="81"/>
      <c r="B30" s="88" t="s">
        <v>36</v>
      </c>
      <c r="C30" s="70">
        <v>3.41</v>
      </c>
    </row>
    <row r="31" spans="1:3" ht="30" x14ac:dyDescent="0.25">
      <c r="A31" s="81"/>
      <c r="B31" s="82" t="s">
        <v>37</v>
      </c>
      <c r="C31" s="70">
        <f>5.4</f>
        <v>5.4</v>
      </c>
    </row>
    <row r="32" spans="1:3" x14ac:dyDescent="0.25">
      <c r="A32" s="90"/>
      <c r="B32" s="88" t="s">
        <v>38</v>
      </c>
      <c r="C32" s="70">
        <v>4.5</v>
      </c>
    </row>
    <row r="33" spans="1:3" x14ac:dyDescent="0.25">
      <c r="A33" s="90"/>
      <c r="B33" s="82" t="s">
        <v>95</v>
      </c>
      <c r="C33" s="70">
        <v>3.59</v>
      </c>
    </row>
    <row r="34" spans="1:3" x14ac:dyDescent="0.25">
      <c r="A34" s="98"/>
      <c r="B34" s="99" t="s">
        <v>41</v>
      </c>
      <c r="C34" s="80">
        <f t="shared" ref="C34" si="5">C35+C62+C81+C83+C84</f>
        <v>5391.72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3737.5000000000005</v>
      </c>
    </row>
    <row r="36" spans="1:3" x14ac:dyDescent="0.25">
      <c r="A36" s="100">
        <v>2</v>
      </c>
      <c r="B36" s="76" t="s">
        <v>43</v>
      </c>
      <c r="C36" s="51">
        <v>1003.37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1487.16</v>
      </c>
    </row>
    <row r="39" spans="1:3" x14ac:dyDescent="0.25">
      <c r="A39" s="100">
        <v>5</v>
      </c>
      <c r="B39" s="102" t="s">
        <v>46</v>
      </c>
      <c r="C39" s="51">
        <v>317.73</v>
      </c>
    </row>
    <row r="40" spans="1:3" ht="47.25" x14ac:dyDescent="0.25">
      <c r="A40" s="100">
        <v>6</v>
      </c>
      <c r="B40" s="102" t="s">
        <v>47</v>
      </c>
      <c r="C40" s="51">
        <v>61.4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752.86</v>
      </c>
    </row>
    <row r="42" spans="1:3" x14ac:dyDescent="0.25">
      <c r="A42" s="100"/>
      <c r="B42" s="88" t="s">
        <v>49</v>
      </c>
      <c r="C42" s="104">
        <f>46.53+17.4+62.923+65.857-80</f>
        <v>112.71000000000001</v>
      </c>
    </row>
    <row r="43" spans="1:3" x14ac:dyDescent="0.25">
      <c r="A43" s="100"/>
      <c r="B43" s="88" t="s">
        <v>91</v>
      </c>
      <c r="C43" s="51">
        <f>330.94+31.59+200</f>
        <v>562.53</v>
      </c>
    </row>
    <row r="44" spans="1:3" ht="30" x14ac:dyDescent="0.25">
      <c r="A44" s="81"/>
      <c r="B44" s="88" t="s">
        <v>78</v>
      </c>
      <c r="C44" s="51">
        <v>77.62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63" x14ac:dyDescent="0.25">
      <c r="A48" s="100">
        <v>8</v>
      </c>
      <c r="B48" s="103" t="s">
        <v>51</v>
      </c>
      <c r="C48" s="80">
        <f t="shared" ref="C48" si="8">C49+C50+C51+C52+C53+C54+C55+C56</f>
        <v>84.440000000000012</v>
      </c>
    </row>
    <row r="49" spans="1:3" x14ac:dyDescent="0.25">
      <c r="A49" s="100"/>
      <c r="B49" s="106" t="s">
        <v>52</v>
      </c>
      <c r="C49" s="51">
        <v>23.87</v>
      </c>
    </row>
    <row r="50" spans="1:3" x14ac:dyDescent="0.25">
      <c r="A50" s="100"/>
      <c r="B50" s="106" t="s">
        <v>53</v>
      </c>
      <c r="C50" s="51">
        <v>7.16</v>
      </c>
    </row>
    <row r="51" spans="1:3" x14ac:dyDescent="0.25">
      <c r="A51" s="100"/>
      <c r="B51" s="106" t="s">
        <v>54</v>
      </c>
      <c r="C51" s="51">
        <v>12.47</v>
      </c>
    </row>
    <row r="52" spans="1:3" x14ac:dyDescent="0.25">
      <c r="A52" s="100"/>
      <c r="B52" s="106" t="s">
        <v>55</v>
      </c>
      <c r="C52" s="51">
        <v>16.920000000000002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5.51</v>
      </c>
    </row>
    <row r="55" spans="1:3" x14ac:dyDescent="0.25">
      <c r="A55" s="100"/>
      <c r="B55" s="88" t="s">
        <v>96</v>
      </c>
      <c r="C55" s="51">
        <v>16.010000000000002</v>
      </c>
    </row>
    <row r="56" spans="1:3" x14ac:dyDescent="0.25">
      <c r="A56" s="100"/>
      <c r="B56" s="88" t="s">
        <v>97</v>
      </c>
      <c r="C56" s="51">
        <v>2.5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10.9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30.54</v>
      </c>
    </row>
    <row r="60" spans="1:3" x14ac:dyDescent="0.25">
      <c r="A60" s="100"/>
      <c r="B60" s="82" t="s">
        <v>58</v>
      </c>
      <c r="C60" s="51">
        <v>21.74</v>
      </c>
    </row>
    <row r="61" spans="1:3" x14ac:dyDescent="0.25">
      <c r="A61" s="100"/>
      <c r="B61" s="82" t="s">
        <v>59</v>
      </c>
      <c r="C61" s="51">
        <v>8.8000000000000007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1066.78</v>
      </c>
    </row>
    <row r="63" spans="1:3" x14ac:dyDescent="0.25">
      <c r="A63" s="100">
        <v>11</v>
      </c>
      <c r="B63" s="76" t="s">
        <v>61</v>
      </c>
      <c r="C63" s="51">
        <v>235.78</v>
      </c>
    </row>
    <row r="64" spans="1:3" x14ac:dyDescent="0.25">
      <c r="A64" s="100">
        <v>12</v>
      </c>
      <c r="B64" s="108" t="s">
        <v>62</v>
      </c>
      <c r="C64" s="51">
        <v>624.03</v>
      </c>
    </row>
    <row r="65" spans="1:3" x14ac:dyDescent="0.25">
      <c r="A65" s="100">
        <v>13</v>
      </c>
      <c r="B65" s="108" t="s">
        <v>46</v>
      </c>
      <c r="C65" s="51">
        <v>136.99</v>
      </c>
    </row>
    <row r="66" spans="1:3" x14ac:dyDescent="0.25">
      <c r="A66" s="100">
        <v>14</v>
      </c>
      <c r="B66" s="103" t="s">
        <v>63</v>
      </c>
      <c r="C66" s="80">
        <f t="shared" ref="C66" si="11">C68</f>
        <v>10.37</v>
      </c>
    </row>
    <row r="67" spans="1:3" x14ac:dyDescent="0.25">
      <c r="A67" s="109"/>
      <c r="B67" s="106" t="s">
        <v>99</v>
      </c>
      <c r="C67" s="51">
        <v>20.010000000000002</v>
      </c>
    </row>
    <row r="68" spans="1:3" x14ac:dyDescent="0.25">
      <c r="A68" s="100"/>
      <c r="B68" s="108" t="s">
        <v>64</v>
      </c>
      <c r="C68" s="51">
        <v>10.37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59.61</v>
      </c>
    </row>
    <row r="70" spans="1:3" x14ac:dyDescent="0.25">
      <c r="A70" s="100"/>
      <c r="B70" s="82" t="s">
        <v>66</v>
      </c>
      <c r="C70" s="51">
        <v>0.85</v>
      </c>
    </row>
    <row r="71" spans="1:3" x14ac:dyDescent="0.25">
      <c r="A71" s="100"/>
      <c r="B71" s="82" t="s">
        <v>67</v>
      </c>
      <c r="C71" s="51">
        <v>16.420000000000002</v>
      </c>
    </row>
    <row r="72" spans="1:3" ht="30" x14ac:dyDescent="0.25">
      <c r="A72" s="100"/>
      <c r="B72" s="82" t="s">
        <v>68</v>
      </c>
      <c r="C72" s="51">
        <v>8.15</v>
      </c>
    </row>
    <row r="73" spans="1:3" ht="30" x14ac:dyDescent="0.25">
      <c r="A73" s="112"/>
      <c r="B73" s="82" t="s">
        <v>69</v>
      </c>
      <c r="C73" s="51">
        <v>6.77</v>
      </c>
    </row>
    <row r="74" spans="1:3" x14ac:dyDescent="0.25">
      <c r="A74" s="112"/>
      <c r="B74" s="82" t="s">
        <v>70</v>
      </c>
      <c r="C74" s="87">
        <v>0.85</v>
      </c>
    </row>
    <row r="75" spans="1:3" x14ac:dyDescent="0.25">
      <c r="A75" s="112"/>
      <c r="B75" s="82" t="s">
        <v>71</v>
      </c>
      <c r="C75" s="87">
        <v>2.2799999999999998</v>
      </c>
    </row>
    <row r="76" spans="1:3" x14ac:dyDescent="0.25">
      <c r="A76" s="112"/>
      <c r="B76" s="82" t="s">
        <v>72</v>
      </c>
      <c r="C76" s="87">
        <v>1.17</v>
      </c>
    </row>
    <row r="77" spans="1:3" ht="30" x14ac:dyDescent="0.25">
      <c r="A77" s="100"/>
      <c r="B77" s="82" t="s">
        <v>98</v>
      </c>
      <c r="C77" s="51">
        <v>11.29</v>
      </c>
    </row>
    <row r="78" spans="1:3" x14ac:dyDescent="0.25">
      <c r="A78" s="100"/>
      <c r="B78" s="82" t="s">
        <v>73</v>
      </c>
      <c r="C78" s="51">
        <v>0.44</v>
      </c>
    </row>
    <row r="79" spans="1:3" x14ac:dyDescent="0.25">
      <c r="A79" s="100"/>
      <c r="B79" s="82" t="s">
        <v>100</v>
      </c>
      <c r="C79" s="51">
        <v>0.06</v>
      </c>
    </row>
    <row r="80" spans="1:3" x14ac:dyDescent="0.25">
      <c r="A80" s="113"/>
      <c r="B80" s="82" t="s">
        <v>74</v>
      </c>
      <c r="C80" s="51">
        <v>10.29</v>
      </c>
    </row>
    <row r="81" spans="1:3" x14ac:dyDescent="0.25">
      <c r="A81" s="114"/>
      <c r="B81" s="82" t="s">
        <v>75</v>
      </c>
      <c r="C81" s="51">
        <v>159.61000000000001</v>
      </c>
    </row>
    <row r="82" spans="1:3" ht="30" x14ac:dyDescent="0.25">
      <c r="A82" s="114"/>
      <c r="B82" s="108" t="s">
        <v>76</v>
      </c>
      <c r="C82" s="51">
        <v>1.04</v>
      </c>
    </row>
    <row r="83" spans="1:3" x14ac:dyDescent="0.25">
      <c r="A83" s="115">
        <v>18</v>
      </c>
      <c r="B83" s="102" t="s">
        <v>77</v>
      </c>
      <c r="C83" s="51">
        <v>81.8</v>
      </c>
    </row>
    <row r="84" spans="1:3" ht="31.5" x14ac:dyDescent="0.25">
      <c r="A84" s="116">
        <v>19</v>
      </c>
      <c r="B84" s="79" t="s">
        <v>30</v>
      </c>
      <c r="C84" s="117">
        <v>346.03</v>
      </c>
    </row>
    <row r="85" spans="1:3" ht="29.25" x14ac:dyDescent="0.25">
      <c r="A85" s="118"/>
      <c r="B85" s="119" t="s">
        <v>105</v>
      </c>
      <c r="C85" s="120">
        <f t="shared" ref="C85" si="13">C22-C34</f>
        <v>685.09264239999993</v>
      </c>
    </row>
    <row r="86" spans="1:3" ht="31.5" x14ac:dyDescent="0.25">
      <c r="A86" s="60"/>
      <c r="B86" s="61" t="s">
        <v>92</v>
      </c>
      <c r="C86" s="80">
        <v>864.3</v>
      </c>
    </row>
    <row r="87" spans="1:3" x14ac:dyDescent="0.25">
      <c r="C87" s="86"/>
    </row>
  </sheetData>
  <pageMargins left="0.7" right="0.7" top="0.33" bottom="0.28999999999999998" header="0.3" footer="0.3"/>
  <pageSetup paperSize="9" scale="54" orientation="portrait" verticalDpi="300" r:id="rId1"/>
  <rowBreaks count="1" manualBreakCount="1">
    <brk id="7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16" zoomScale="60" zoomScaleNormal="100" workbookViewId="0">
      <selection activeCell="V79" sqref="V79"/>
    </sheetView>
  </sheetViews>
  <sheetFormatPr defaultRowHeight="15.75" x14ac:dyDescent="0.25"/>
  <cols>
    <col min="1" max="1" width="6.85546875" style="52" customWidth="1"/>
    <col min="2" max="2" width="78.5703125" style="55" customWidth="1"/>
    <col min="3" max="3" width="28.42578125" style="55" customWidth="1"/>
  </cols>
  <sheetData>
    <row r="1" spans="1:3" x14ac:dyDescent="0.25">
      <c r="B1" s="53" t="s">
        <v>87</v>
      </c>
    </row>
    <row r="2" spans="1:3" x14ac:dyDescent="0.25">
      <c r="B2" s="121"/>
    </row>
    <row r="3" spans="1:3" x14ac:dyDescent="0.25">
      <c r="A3" s="60"/>
      <c r="B3" s="61"/>
      <c r="C3" s="63" t="s">
        <v>2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17.11</v>
      </c>
    </row>
    <row r="6" spans="1:3" ht="31.5" x14ac:dyDescent="0.25">
      <c r="A6" s="67"/>
      <c r="B6" s="68" t="s">
        <v>89</v>
      </c>
      <c r="C6" s="70">
        <v>623.03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5736.8436000000002</v>
      </c>
    </row>
    <row r="8" spans="1:3" ht="20.25" x14ac:dyDescent="0.3">
      <c r="A8" s="72">
        <v>2</v>
      </c>
      <c r="B8" s="76" t="s">
        <v>29</v>
      </c>
      <c r="C8" s="78">
        <f>25.73*17.11*12</f>
        <v>5282.8836000000001</v>
      </c>
    </row>
    <row r="9" spans="1:3" ht="20.25" x14ac:dyDescent="0.3">
      <c r="A9" s="72">
        <v>3</v>
      </c>
      <c r="B9" s="79" t="s">
        <v>30</v>
      </c>
      <c r="C9" s="80">
        <v>373.57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80.389999999999986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25.53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42.26</v>
      </c>
    </row>
    <row r="15" spans="1:3" x14ac:dyDescent="0.25">
      <c r="A15" s="81"/>
      <c r="B15" s="88" t="s">
        <v>36</v>
      </c>
      <c r="C15" s="70">
        <v>2.5</v>
      </c>
    </row>
    <row r="16" spans="1:3" x14ac:dyDescent="0.25">
      <c r="A16" s="81"/>
      <c r="B16" s="82" t="s">
        <v>37</v>
      </c>
      <c r="C16" s="70">
        <f>5.4+0.45</f>
        <v>5.8500000000000005</v>
      </c>
    </row>
    <row r="17" spans="1:3" x14ac:dyDescent="0.25">
      <c r="A17" s="89"/>
      <c r="B17" s="82" t="s">
        <v>95</v>
      </c>
      <c r="C17" s="70">
        <v>9.1999999999999993</v>
      </c>
    </row>
    <row r="18" spans="1:3" x14ac:dyDescent="0.25">
      <c r="A18" s="90"/>
      <c r="B18" s="88" t="s">
        <v>38</v>
      </c>
      <c r="C18" s="70">
        <v>4.25</v>
      </c>
    </row>
    <row r="19" spans="1:3" x14ac:dyDescent="0.25">
      <c r="A19" s="90"/>
      <c r="B19" s="88" t="s">
        <v>101</v>
      </c>
      <c r="C19" s="70">
        <v>15.75</v>
      </c>
    </row>
    <row r="20" spans="1:3" x14ac:dyDescent="0.25">
      <c r="A20" s="90"/>
      <c r="B20" s="88" t="s">
        <v>102</v>
      </c>
      <c r="C20" s="70">
        <v>12.35</v>
      </c>
    </row>
    <row r="21" spans="1:3" ht="18.75" x14ac:dyDescent="0.25">
      <c r="A21" s="92"/>
      <c r="B21" s="93" t="s">
        <v>39</v>
      </c>
      <c r="C21" s="94">
        <f t="shared" ref="C21" si="2">C7/C22*100</f>
        <v>100.05685798319919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5733.5836000000008</v>
      </c>
    </row>
    <row r="23" spans="1:3" ht="20.25" x14ac:dyDescent="0.3">
      <c r="A23" s="72">
        <v>2</v>
      </c>
      <c r="B23" s="76" t="s">
        <v>29</v>
      </c>
      <c r="C23" s="78">
        <f>25.73*17.11*12</f>
        <v>5282.8836000000001</v>
      </c>
    </row>
    <row r="24" spans="1:3" ht="20.25" x14ac:dyDescent="0.3">
      <c r="A24" s="72">
        <v>3</v>
      </c>
      <c r="B24" s="79" t="s">
        <v>30</v>
      </c>
      <c r="C24" s="80">
        <v>374.56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76.14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25.53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37.369999999999997</v>
      </c>
    </row>
    <row r="30" spans="1:3" x14ac:dyDescent="0.25">
      <c r="A30" s="81"/>
      <c r="B30" s="88" t="s">
        <v>36</v>
      </c>
      <c r="C30" s="70">
        <v>3.59</v>
      </c>
    </row>
    <row r="31" spans="1:3" x14ac:dyDescent="0.25">
      <c r="A31" s="81"/>
      <c r="B31" s="82" t="s">
        <v>37</v>
      </c>
      <c r="C31" s="70">
        <f>5.4</f>
        <v>5.4</v>
      </c>
    </row>
    <row r="32" spans="1:3" x14ac:dyDescent="0.25">
      <c r="A32" s="90"/>
      <c r="B32" s="88" t="s">
        <v>38</v>
      </c>
      <c r="C32" s="70">
        <v>4.25</v>
      </c>
    </row>
    <row r="33" spans="1:3" x14ac:dyDescent="0.25">
      <c r="A33" s="90"/>
      <c r="B33" s="82" t="s">
        <v>95</v>
      </c>
      <c r="C33" s="70">
        <v>3.46</v>
      </c>
    </row>
    <row r="34" spans="1:3" x14ac:dyDescent="0.25">
      <c r="A34" s="98"/>
      <c r="B34" s="99" t="s">
        <v>41</v>
      </c>
      <c r="C34" s="80">
        <f t="shared" ref="C34" si="5">C35+C62+C81+C83+C84</f>
        <v>6995.2660000000005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5413.1360000000004</v>
      </c>
    </row>
    <row r="36" spans="1:3" x14ac:dyDescent="0.25">
      <c r="A36" s="100">
        <v>2</v>
      </c>
      <c r="B36" s="76" t="s">
        <v>43</v>
      </c>
      <c r="C36" s="51">
        <v>966.11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1431.92</v>
      </c>
    </row>
    <row r="39" spans="1:3" x14ac:dyDescent="0.25">
      <c r="A39" s="100">
        <v>5</v>
      </c>
      <c r="B39" s="102" t="s">
        <v>46</v>
      </c>
      <c r="C39" s="51">
        <v>344.45</v>
      </c>
    </row>
    <row r="40" spans="1:3" ht="31.5" x14ac:dyDescent="0.25">
      <c r="A40" s="100">
        <v>6</v>
      </c>
      <c r="B40" s="102" t="s">
        <v>47</v>
      </c>
      <c r="C40" s="51">
        <v>59.12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2500.596</v>
      </c>
    </row>
    <row r="42" spans="1:3" x14ac:dyDescent="0.25">
      <c r="A42" s="100"/>
      <c r="B42" s="88" t="s">
        <v>49</v>
      </c>
      <c r="C42" s="104">
        <f>113.27+42.32+54.496-90</f>
        <v>120.08600000000001</v>
      </c>
    </row>
    <row r="43" spans="1:3" x14ac:dyDescent="0.25">
      <c r="A43" s="100"/>
      <c r="B43" s="88" t="s">
        <v>91</v>
      </c>
      <c r="C43" s="51">
        <v>20.8</v>
      </c>
    </row>
    <row r="44" spans="1:3" x14ac:dyDescent="0.25">
      <c r="A44" s="81"/>
      <c r="B44" s="88" t="s">
        <v>78</v>
      </c>
      <c r="C44" s="51">
        <v>74.47</v>
      </c>
    </row>
    <row r="45" spans="1:3" x14ac:dyDescent="0.25">
      <c r="A45" s="105"/>
      <c r="B45" s="88" t="s">
        <v>90</v>
      </c>
      <c r="C45" s="51">
        <f>1305+511.2-137.95</f>
        <v>1678.25</v>
      </c>
    </row>
    <row r="46" spans="1:3" x14ac:dyDescent="0.25">
      <c r="A46" s="100"/>
      <c r="B46" s="88" t="s">
        <v>94</v>
      </c>
      <c r="C46" s="51">
        <v>606.99</v>
      </c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81.31</v>
      </c>
    </row>
    <row r="49" spans="1:3" x14ac:dyDescent="0.25">
      <c r="A49" s="100"/>
      <c r="B49" s="106" t="s">
        <v>52</v>
      </c>
      <c r="C49" s="51">
        <v>22.98</v>
      </c>
    </row>
    <row r="50" spans="1:3" x14ac:dyDescent="0.25">
      <c r="A50" s="100"/>
      <c r="B50" s="106" t="s">
        <v>53</v>
      </c>
      <c r="C50" s="51">
        <v>6.89</v>
      </c>
    </row>
    <row r="51" spans="1:3" x14ac:dyDescent="0.25">
      <c r="A51" s="100"/>
      <c r="B51" s="106" t="s">
        <v>54</v>
      </c>
      <c r="C51" s="51">
        <v>12.01</v>
      </c>
    </row>
    <row r="52" spans="1:3" x14ac:dyDescent="0.25">
      <c r="A52" s="100"/>
      <c r="B52" s="106" t="s">
        <v>55</v>
      </c>
      <c r="C52" s="51">
        <v>16.3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5.3</v>
      </c>
    </row>
    <row r="55" spans="1:3" x14ac:dyDescent="0.25">
      <c r="A55" s="100"/>
      <c r="B55" s="88" t="s">
        <v>96</v>
      </c>
      <c r="C55" s="51">
        <v>15.42</v>
      </c>
    </row>
    <row r="56" spans="1:3" x14ac:dyDescent="0.25">
      <c r="A56" s="100"/>
      <c r="B56" s="88" t="s">
        <v>97</v>
      </c>
      <c r="C56" s="51">
        <v>2.41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10.49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29.63</v>
      </c>
    </row>
    <row r="60" spans="1:3" x14ac:dyDescent="0.25">
      <c r="A60" s="100"/>
      <c r="B60" s="82" t="s">
        <v>58</v>
      </c>
      <c r="C60" s="51">
        <v>20.93</v>
      </c>
    </row>
    <row r="61" spans="1:3" x14ac:dyDescent="0.25">
      <c r="A61" s="100"/>
      <c r="B61" s="82" t="s">
        <v>59</v>
      </c>
      <c r="C61" s="51">
        <v>8.6999999999999993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1016.5699999999999</v>
      </c>
    </row>
    <row r="63" spans="1:3" x14ac:dyDescent="0.25">
      <c r="A63" s="100">
        <v>11</v>
      </c>
      <c r="B63" s="76" t="s">
        <v>61</v>
      </c>
      <c r="C63" s="51">
        <v>227.02</v>
      </c>
    </row>
    <row r="64" spans="1:3" x14ac:dyDescent="0.25">
      <c r="A64" s="100">
        <v>12</v>
      </c>
      <c r="B64" s="108" t="s">
        <v>62</v>
      </c>
      <c r="C64" s="51">
        <v>600.85</v>
      </c>
    </row>
    <row r="65" spans="1:3" x14ac:dyDescent="0.25">
      <c r="A65" s="100">
        <v>13</v>
      </c>
      <c r="B65" s="108" t="s">
        <v>46</v>
      </c>
      <c r="C65" s="51">
        <v>121.53</v>
      </c>
    </row>
    <row r="66" spans="1:3" x14ac:dyDescent="0.25">
      <c r="A66" s="100">
        <v>14</v>
      </c>
      <c r="B66" s="103" t="s">
        <v>63</v>
      </c>
      <c r="C66" s="80">
        <f t="shared" ref="C66" si="11">C68</f>
        <v>9.8000000000000007</v>
      </c>
    </row>
    <row r="67" spans="1:3" x14ac:dyDescent="0.25">
      <c r="A67" s="109"/>
      <c r="B67" s="106" t="s">
        <v>99</v>
      </c>
      <c r="C67" s="51">
        <v>19.260000000000002</v>
      </c>
    </row>
    <row r="68" spans="1:3" x14ac:dyDescent="0.25">
      <c r="A68" s="100"/>
      <c r="B68" s="108" t="s">
        <v>64</v>
      </c>
      <c r="C68" s="51">
        <v>9.8000000000000007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57.37</v>
      </c>
    </row>
    <row r="70" spans="1:3" x14ac:dyDescent="0.25">
      <c r="A70" s="100"/>
      <c r="B70" s="82" t="s">
        <v>66</v>
      </c>
      <c r="C70" s="51">
        <v>0.81</v>
      </c>
    </row>
    <row r="71" spans="1:3" x14ac:dyDescent="0.25">
      <c r="A71" s="100"/>
      <c r="B71" s="82" t="s">
        <v>67</v>
      </c>
      <c r="C71" s="51">
        <v>15.8</v>
      </c>
    </row>
    <row r="72" spans="1:3" x14ac:dyDescent="0.25">
      <c r="A72" s="100"/>
      <c r="B72" s="82" t="s">
        <v>68</v>
      </c>
      <c r="C72" s="51">
        <v>7.84</v>
      </c>
    </row>
    <row r="73" spans="1:3" x14ac:dyDescent="0.25">
      <c r="A73" s="112"/>
      <c r="B73" s="82" t="s">
        <v>69</v>
      </c>
      <c r="C73" s="51">
        <v>6.51</v>
      </c>
    </row>
    <row r="74" spans="1:3" x14ac:dyDescent="0.25">
      <c r="A74" s="112"/>
      <c r="B74" s="82" t="s">
        <v>70</v>
      </c>
      <c r="C74" s="87">
        <v>0.81</v>
      </c>
    </row>
    <row r="75" spans="1:3" x14ac:dyDescent="0.25">
      <c r="A75" s="112"/>
      <c r="B75" s="82" t="s">
        <v>71</v>
      </c>
      <c r="C75" s="87">
        <v>2.2000000000000002</v>
      </c>
    </row>
    <row r="76" spans="1:3" x14ac:dyDescent="0.25">
      <c r="A76" s="112"/>
      <c r="B76" s="82" t="s">
        <v>72</v>
      </c>
      <c r="C76" s="87">
        <v>1.1299999999999999</v>
      </c>
    </row>
    <row r="77" spans="1:3" x14ac:dyDescent="0.25">
      <c r="A77" s="100"/>
      <c r="B77" s="82" t="s">
        <v>98</v>
      </c>
      <c r="C77" s="51">
        <v>10.87</v>
      </c>
    </row>
    <row r="78" spans="1:3" x14ac:dyDescent="0.25">
      <c r="A78" s="100"/>
      <c r="B78" s="82" t="s">
        <v>73</v>
      </c>
      <c r="C78" s="51">
        <v>0.42</v>
      </c>
    </row>
    <row r="79" spans="1:3" x14ac:dyDescent="0.25">
      <c r="A79" s="100"/>
      <c r="B79" s="82" t="s">
        <v>100</v>
      </c>
      <c r="C79" s="51">
        <v>0.06</v>
      </c>
    </row>
    <row r="80" spans="1:3" x14ac:dyDescent="0.25">
      <c r="A80" s="113"/>
      <c r="B80" s="82" t="s">
        <v>74</v>
      </c>
      <c r="C80" s="51">
        <v>9.91</v>
      </c>
    </row>
    <row r="81" spans="1:3" x14ac:dyDescent="0.25">
      <c r="A81" s="114"/>
      <c r="B81" s="82" t="s">
        <v>75</v>
      </c>
      <c r="C81" s="51">
        <v>153.68</v>
      </c>
    </row>
    <row r="82" spans="1:3" x14ac:dyDescent="0.25">
      <c r="A82" s="114"/>
      <c r="B82" s="108" t="s">
        <v>76</v>
      </c>
      <c r="C82" s="51">
        <v>1.01</v>
      </c>
    </row>
    <row r="83" spans="1:3" x14ac:dyDescent="0.25">
      <c r="A83" s="115">
        <v>18</v>
      </c>
      <c r="B83" s="102" t="s">
        <v>77</v>
      </c>
      <c r="C83" s="51">
        <v>78.7</v>
      </c>
    </row>
    <row r="84" spans="1:3" ht="18" x14ac:dyDescent="0.25">
      <c r="A84" s="116">
        <v>19</v>
      </c>
      <c r="B84" s="79" t="s">
        <v>30</v>
      </c>
      <c r="C84" s="117">
        <v>333.18</v>
      </c>
    </row>
    <row r="85" spans="1:3" ht="29.25" x14ac:dyDescent="0.25">
      <c r="A85" s="118"/>
      <c r="B85" s="119" t="s">
        <v>105</v>
      </c>
      <c r="C85" s="120">
        <f t="shared" ref="C85" si="13">C22-C34</f>
        <v>-1261.6823999999997</v>
      </c>
    </row>
    <row r="86" spans="1:3" ht="31.5" x14ac:dyDescent="0.25">
      <c r="A86" s="60"/>
      <c r="B86" s="61" t="s">
        <v>92</v>
      </c>
      <c r="C86" s="80">
        <v>640.21</v>
      </c>
    </row>
    <row r="87" spans="1:3" x14ac:dyDescent="0.25">
      <c r="C87" s="86"/>
    </row>
  </sheetData>
  <pageMargins left="0.48" right="0.7" top="0.3" bottom="0.3" header="0.3" footer="0.3"/>
  <pageSetup paperSize="9" scale="53" orientation="portrait" verticalDpi="300" r:id="rId1"/>
  <rowBreaks count="1" manualBreakCount="1">
    <brk id="7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59" zoomScale="60" zoomScaleNormal="100" workbookViewId="0">
      <selection activeCell="B20" sqref="B20"/>
    </sheetView>
  </sheetViews>
  <sheetFormatPr defaultRowHeight="15.75" x14ac:dyDescent="0.25"/>
  <cols>
    <col min="1" max="1" width="6.85546875" style="52" customWidth="1"/>
    <col min="2" max="2" width="78.7109375" style="55" customWidth="1"/>
    <col min="3" max="3" width="34.5703125" style="55" customWidth="1"/>
  </cols>
  <sheetData>
    <row r="1" spans="1:3" s="123" customFormat="1" x14ac:dyDescent="0.25">
      <c r="A1" s="52"/>
      <c r="B1" s="53" t="s">
        <v>87</v>
      </c>
      <c r="C1" s="55"/>
    </row>
    <row r="2" spans="1:3" x14ac:dyDescent="0.25">
      <c r="B2" s="121"/>
    </row>
    <row r="3" spans="1:3" x14ac:dyDescent="0.25">
      <c r="A3" s="60"/>
      <c r="B3" s="61"/>
      <c r="C3" s="63" t="s">
        <v>1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9.61</v>
      </c>
    </row>
    <row r="6" spans="1:3" x14ac:dyDescent="0.25">
      <c r="A6" s="67"/>
      <c r="B6" s="68" t="s">
        <v>89</v>
      </c>
      <c r="C6" s="70">
        <v>323.52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3299.3820286</v>
      </c>
    </row>
    <row r="8" spans="1:3" ht="20.25" x14ac:dyDescent="0.3">
      <c r="A8" s="72">
        <v>2</v>
      </c>
      <c r="B8" s="76" t="s">
        <v>29</v>
      </c>
      <c r="C8" s="78">
        <f>25.73*9.61*12</f>
        <v>2967.1835999999998</v>
      </c>
    </row>
    <row r="9" spans="1:3" ht="20.25" x14ac:dyDescent="0.3">
      <c r="A9" s="72">
        <v>3</v>
      </c>
      <c r="B9" s="79" t="s">
        <v>30</v>
      </c>
      <c r="C9" s="80">
        <v>209.82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122.37842860000002</v>
      </c>
    </row>
    <row r="11" spans="1:3" x14ac:dyDescent="0.25">
      <c r="A11" s="81"/>
      <c r="B11" s="82" t="s">
        <v>32</v>
      </c>
      <c r="C11" s="70">
        <f>0.15378*25.73*19</f>
        <v>75.178428600000004</v>
      </c>
    </row>
    <row r="12" spans="1:3" x14ac:dyDescent="0.25">
      <c r="A12" s="81"/>
      <c r="B12" s="82" t="s">
        <v>33</v>
      </c>
      <c r="C12" s="70">
        <v>14.34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23.73</v>
      </c>
    </row>
    <row r="15" spans="1:3" x14ac:dyDescent="0.25">
      <c r="A15" s="81"/>
      <c r="B15" s="88" t="s">
        <v>36</v>
      </c>
      <c r="C15" s="70">
        <v>2.1800000000000002</v>
      </c>
    </row>
    <row r="16" spans="1:3" x14ac:dyDescent="0.25">
      <c r="A16" s="81"/>
      <c r="B16" s="82" t="s">
        <v>37</v>
      </c>
      <c r="C16" s="70">
        <f>3+0.45</f>
        <v>3.45</v>
      </c>
    </row>
    <row r="17" spans="1:3" x14ac:dyDescent="0.25">
      <c r="A17" s="89"/>
      <c r="B17" s="82" t="s">
        <v>95</v>
      </c>
      <c r="C17" s="70">
        <v>5.2</v>
      </c>
    </row>
    <row r="18" spans="1:3" x14ac:dyDescent="0.25">
      <c r="A18" s="90"/>
      <c r="B18" s="88" t="s">
        <v>38</v>
      </c>
      <c r="C18" s="70">
        <v>3.5</v>
      </c>
    </row>
    <row r="19" spans="1:3" x14ac:dyDescent="0.25">
      <c r="A19" s="90"/>
      <c r="B19" s="88" t="s">
        <v>101</v>
      </c>
      <c r="C19" s="70">
        <v>8.85</v>
      </c>
    </row>
    <row r="20" spans="1:3" x14ac:dyDescent="0.25">
      <c r="A20" s="90"/>
      <c r="B20" s="88" t="s">
        <v>102</v>
      </c>
      <c r="C20" s="70">
        <v>7.25</v>
      </c>
    </row>
    <row r="21" spans="1:3" ht="18.75" x14ac:dyDescent="0.25">
      <c r="A21" s="92"/>
      <c r="B21" s="93" t="s">
        <v>39</v>
      </c>
      <c r="C21" s="94">
        <f t="shared" ref="C21" si="2">C7/C22*100</f>
        <v>100.69668654427848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3276.5547127999998</v>
      </c>
    </row>
    <row r="23" spans="1:3" ht="20.25" x14ac:dyDescent="0.3">
      <c r="A23" s="72">
        <v>2</v>
      </c>
      <c r="B23" s="76" t="s">
        <v>29</v>
      </c>
      <c r="C23" s="78">
        <f>25.73*9.61*12</f>
        <v>2967.1835999999998</v>
      </c>
    </row>
    <row r="24" spans="1:3" ht="20.25" x14ac:dyDescent="0.3">
      <c r="A24" s="72">
        <v>3</v>
      </c>
      <c r="B24" s="79" t="s">
        <v>30</v>
      </c>
      <c r="C24" s="80">
        <v>210.37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99.001112800000001</v>
      </c>
    </row>
    <row r="26" spans="1:3" x14ac:dyDescent="0.25">
      <c r="A26" s="81"/>
      <c r="B26" s="82" t="s">
        <v>32</v>
      </c>
      <c r="C26" s="70">
        <f>0.15378*25.73*12+2.74</f>
        <v>50.221112800000007</v>
      </c>
    </row>
    <row r="27" spans="1:3" x14ac:dyDescent="0.25">
      <c r="A27" s="81"/>
      <c r="B27" s="82" t="s">
        <v>33</v>
      </c>
      <c r="C27" s="70">
        <v>14.34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25.99</v>
      </c>
    </row>
    <row r="30" spans="1:3" x14ac:dyDescent="0.25">
      <c r="A30" s="81"/>
      <c r="B30" s="88" t="s">
        <v>36</v>
      </c>
      <c r="C30" s="70">
        <v>1.95</v>
      </c>
    </row>
    <row r="31" spans="1:3" x14ac:dyDescent="0.25">
      <c r="A31" s="81"/>
      <c r="B31" s="82" t="s">
        <v>37</v>
      </c>
      <c r="C31" s="70">
        <f>3</f>
        <v>3</v>
      </c>
    </row>
    <row r="32" spans="1:3" x14ac:dyDescent="0.25">
      <c r="A32" s="90"/>
      <c r="B32" s="88" t="s">
        <v>38</v>
      </c>
      <c r="C32" s="70">
        <v>3.5</v>
      </c>
    </row>
    <row r="33" spans="1:3" x14ac:dyDescent="0.25">
      <c r="A33" s="90"/>
      <c r="B33" s="82" t="s">
        <v>95</v>
      </c>
      <c r="C33" s="70">
        <v>1.94</v>
      </c>
    </row>
    <row r="34" spans="1:3" x14ac:dyDescent="0.25">
      <c r="A34" s="98"/>
      <c r="B34" s="99" t="s">
        <v>41</v>
      </c>
      <c r="C34" s="80">
        <f t="shared" ref="C34" si="5">C35+C62+C81+C83+C84</f>
        <v>2636.9370000000004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1736.9570000000001</v>
      </c>
    </row>
    <row r="36" spans="1:3" x14ac:dyDescent="0.25">
      <c r="A36" s="100">
        <v>2</v>
      </c>
      <c r="B36" s="76" t="s">
        <v>43</v>
      </c>
      <c r="C36" s="51">
        <v>542.62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804.25</v>
      </c>
    </row>
    <row r="39" spans="1:3" x14ac:dyDescent="0.25">
      <c r="A39" s="100">
        <v>5</v>
      </c>
      <c r="B39" s="102" t="s">
        <v>46</v>
      </c>
      <c r="C39" s="51">
        <v>193.46</v>
      </c>
    </row>
    <row r="40" spans="1:3" ht="31.5" x14ac:dyDescent="0.25">
      <c r="A40" s="100">
        <v>6</v>
      </c>
      <c r="B40" s="102" t="s">
        <v>47</v>
      </c>
      <c r="C40" s="51">
        <v>33.21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100.59700000000001</v>
      </c>
    </row>
    <row r="42" spans="1:3" x14ac:dyDescent="0.25">
      <c r="A42" s="100"/>
      <c r="B42" s="88" t="s">
        <v>49</v>
      </c>
      <c r="C42" s="104">
        <f>29.61+44.945+21.062-37</f>
        <v>58.617000000000004</v>
      </c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41.98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45.660000000000004</v>
      </c>
    </row>
    <row r="49" spans="1:3" x14ac:dyDescent="0.25">
      <c r="A49" s="100"/>
      <c r="B49" s="106" t="s">
        <v>52</v>
      </c>
      <c r="C49" s="51">
        <v>12.91</v>
      </c>
    </row>
    <row r="50" spans="1:3" x14ac:dyDescent="0.25">
      <c r="A50" s="100"/>
      <c r="B50" s="106" t="s">
        <v>53</v>
      </c>
      <c r="C50" s="51">
        <v>3.87</v>
      </c>
    </row>
    <row r="51" spans="1:3" x14ac:dyDescent="0.25">
      <c r="A51" s="100"/>
      <c r="B51" s="106" t="s">
        <v>54</v>
      </c>
      <c r="C51" s="51">
        <v>6.74</v>
      </c>
    </row>
    <row r="52" spans="1:3" x14ac:dyDescent="0.25">
      <c r="A52" s="100"/>
      <c r="B52" s="106" t="s">
        <v>55</v>
      </c>
      <c r="C52" s="51">
        <v>9.15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2.98</v>
      </c>
    </row>
    <row r="55" spans="1:3" x14ac:dyDescent="0.25">
      <c r="A55" s="100"/>
      <c r="B55" s="88" t="s">
        <v>96</v>
      </c>
      <c r="C55" s="51">
        <v>8.66</v>
      </c>
    </row>
    <row r="56" spans="1:3" x14ac:dyDescent="0.25">
      <c r="A56" s="100"/>
      <c r="B56" s="88" t="s">
        <v>97</v>
      </c>
      <c r="C56" s="51">
        <v>1.35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5.89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17.16</v>
      </c>
    </row>
    <row r="60" spans="1:3" x14ac:dyDescent="0.25">
      <c r="A60" s="100"/>
      <c r="B60" s="82" t="s">
        <v>58</v>
      </c>
      <c r="C60" s="51">
        <v>11.76</v>
      </c>
    </row>
    <row r="61" spans="1:3" x14ac:dyDescent="0.25">
      <c r="A61" s="100"/>
      <c r="B61" s="82" t="s">
        <v>59</v>
      </c>
      <c r="C61" s="51">
        <v>5.4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582.33000000000004</v>
      </c>
    </row>
    <row r="63" spans="1:3" x14ac:dyDescent="0.25">
      <c r="A63" s="100">
        <v>11</v>
      </c>
      <c r="B63" s="76" t="s">
        <v>61</v>
      </c>
      <c r="C63" s="51">
        <v>127.51</v>
      </c>
    </row>
    <row r="64" spans="1:3" x14ac:dyDescent="0.25">
      <c r="A64" s="100">
        <v>12</v>
      </c>
      <c r="B64" s="108" t="s">
        <v>62</v>
      </c>
      <c r="C64" s="51">
        <v>337.47</v>
      </c>
    </row>
    <row r="65" spans="1:3" x14ac:dyDescent="0.25">
      <c r="A65" s="100">
        <v>13</v>
      </c>
      <c r="B65" s="108" t="s">
        <v>46</v>
      </c>
      <c r="C65" s="51">
        <v>79.489999999999995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5.62</v>
      </c>
    </row>
    <row r="67" spans="1:3" x14ac:dyDescent="0.25">
      <c r="A67" s="109"/>
      <c r="B67" s="106" t="s">
        <v>99</v>
      </c>
      <c r="C67" s="51">
        <v>10.82</v>
      </c>
    </row>
    <row r="68" spans="1:3" x14ac:dyDescent="0.25">
      <c r="A68" s="100"/>
      <c r="B68" s="108" t="s">
        <v>64</v>
      </c>
      <c r="C68" s="51">
        <v>5.62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32.24</v>
      </c>
    </row>
    <row r="70" spans="1:3" x14ac:dyDescent="0.25">
      <c r="A70" s="100"/>
      <c r="B70" s="82" t="s">
        <v>66</v>
      </c>
      <c r="C70" s="51">
        <v>0.46</v>
      </c>
    </row>
    <row r="71" spans="1:3" x14ac:dyDescent="0.25">
      <c r="A71" s="100"/>
      <c r="B71" s="82" t="s">
        <v>67</v>
      </c>
      <c r="C71" s="51">
        <v>8.8800000000000008</v>
      </c>
    </row>
    <row r="72" spans="1:3" x14ac:dyDescent="0.25">
      <c r="A72" s="100"/>
      <c r="B72" s="82" t="s">
        <v>68</v>
      </c>
      <c r="C72" s="51">
        <v>4.41</v>
      </c>
    </row>
    <row r="73" spans="1:3" x14ac:dyDescent="0.25">
      <c r="A73" s="112"/>
      <c r="B73" s="82" t="s">
        <v>69</v>
      </c>
      <c r="C73" s="51">
        <v>3.66</v>
      </c>
    </row>
    <row r="74" spans="1:3" x14ac:dyDescent="0.25">
      <c r="A74" s="112"/>
      <c r="B74" s="82" t="s">
        <v>70</v>
      </c>
      <c r="C74" s="87">
        <v>0.46</v>
      </c>
    </row>
    <row r="75" spans="1:3" x14ac:dyDescent="0.25">
      <c r="A75" s="112"/>
      <c r="B75" s="82" t="s">
        <v>71</v>
      </c>
      <c r="C75" s="87">
        <v>1.24</v>
      </c>
    </row>
    <row r="76" spans="1:3" x14ac:dyDescent="0.25">
      <c r="A76" s="112"/>
      <c r="B76" s="82" t="s">
        <v>72</v>
      </c>
      <c r="C76" s="87">
        <v>0.63</v>
      </c>
    </row>
    <row r="77" spans="1:3" x14ac:dyDescent="0.25">
      <c r="A77" s="100"/>
      <c r="B77" s="82" t="s">
        <v>98</v>
      </c>
      <c r="C77" s="51">
        <v>6.11</v>
      </c>
    </row>
    <row r="78" spans="1:3" x14ac:dyDescent="0.25">
      <c r="A78" s="100"/>
      <c r="B78" s="82" t="s">
        <v>73</v>
      </c>
      <c r="C78" s="51">
        <v>0.24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5.56</v>
      </c>
    </row>
    <row r="81" spans="1:3" x14ac:dyDescent="0.25">
      <c r="A81" s="114"/>
      <c r="B81" s="82" t="s">
        <v>75</v>
      </c>
      <c r="C81" s="51">
        <v>86.32</v>
      </c>
    </row>
    <row r="82" spans="1:3" x14ac:dyDescent="0.25">
      <c r="A82" s="114"/>
      <c r="B82" s="108" t="s">
        <v>76</v>
      </c>
      <c r="C82" s="51">
        <v>0.56000000000000005</v>
      </c>
    </row>
    <row r="83" spans="1:3" x14ac:dyDescent="0.25">
      <c r="A83" s="115">
        <v>18</v>
      </c>
      <c r="B83" s="102" t="s">
        <v>77</v>
      </c>
      <c r="C83" s="51">
        <v>44.2</v>
      </c>
    </row>
    <row r="84" spans="1:3" ht="18" x14ac:dyDescent="0.25">
      <c r="A84" s="116">
        <v>19</v>
      </c>
      <c r="B84" s="79" t="s">
        <v>30</v>
      </c>
      <c r="C84" s="117">
        <v>187.13</v>
      </c>
    </row>
    <row r="85" spans="1:3" ht="29.25" x14ac:dyDescent="0.25">
      <c r="A85" s="118"/>
      <c r="B85" s="119" t="s">
        <v>105</v>
      </c>
      <c r="C85" s="120">
        <f t="shared" ref="C85" si="13">C22-C34</f>
        <v>639.61771279999948</v>
      </c>
    </row>
    <row r="86" spans="1:3" ht="31.5" x14ac:dyDescent="0.25">
      <c r="A86" s="60"/>
      <c r="B86" s="61" t="s">
        <v>92</v>
      </c>
      <c r="C86" s="80">
        <v>316.64</v>
      </c>
    </row>
    <row r="87" spans="1:3" x14ac:dyDescent="0.25">
      <c r="C87" s="86"/>
    </row>
  </sheetData>
  <pageMargins left="0.7" right="0.7" top="0.28999999999999998" bottom="0.24" header="0.3" footer="0.3"/>
  <pageSetup paperSize="9" scale="53" orientation="portrait" verticalDpi="300" r:id="rId1"/>
  <rowBreaks count="1" manualBreakCount="1">
    <brk id="7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61" zoomScale="60" zoomScaleNormal="100" workbookViewId="0">
      <selection activeCell="C1" sqref="C1"/>
    </sheetView>
  </sheetViews>
  <sheetFormatPr defaultRowHeight="15.75" x14ac:dyDescent="0.25"/>
  <cols>
    <col min="1" max="1" width="6.85546875" style="52" customWidth="1"/>
    <col min="2" max="2" width="66.42578125" style="55" customWidth="1"/>
    <col min="3" max="3" width="33.5703125" style="55" customWidth="1"/>
  </cols>
  <sheetData>
    <row r="1" spans="1:3" ht="31.5" x14ac:dyDescent="0.25">
      <c r="B1" s="53" t="s">
        <v>87</v>
      </c>
    </row>
    <row r="2" spans="1:3" x14ac:dyDescent="0.25">
      <c r="B2" s="121"/>
    </row>
    <row r="3" spans="1:3" x14ac:dyDescent="0.25">
      <c r="A3" s="60"/>
      <c r="B3" s="61"/>
      <c r="C3" s="63" t="s">
        <v>80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17.63</v>
      </c>
    </row>
    <row r="6" spans="1:3" ht="31.5" x14ac:dyDescent="0.25">
      <c r="A6" s="67"/>
      <c r="B6" s="68" t="s">
        <v>89</v>
      </c>
      <c r="C6" s="70">
        <v>631.27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6166.6213336000001</v>
      </c>
    </row>
    <row r="8" spans="1:3" ht="20.25" x14ac:dyDescent="0.3">
      <c r="A8" s="72">
        <v>2</v>
      </c>
      <c r="B8" s="76" t="s">
        <v>29</v>
      </c>
      <c r="C8" s="78">
        <f>25.73*17.63*12</f>
        <v>5443.4387999999999</v>
      </c>
    </row>
    <row r="9" spans="1:3" ht="20.25" x14ac:dyDescent="0.3">
      <c r="A9" s="72">
        <v>3</v>
      </c>
      <c r="B9" s="79" t="s">
        <v>30</v>
      </c>
      <c r="C9" s="80">
        <v>384.93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338.25253359999999</v>
      </c>
    </row>
    <row r="11" spans="1:3" x14ac:dyDescent="0.25">
      <c r="A11" s="81"/>
      <c r="B11" s="82" t="s">
        <v>32</v>
      </c>
      <c r="C11" s="70">
        <f>0.58296*25.73*17</f>
        <v>254.99253360000003</v>
      </c>
    </row>
    <row r="12" spans="1:3" x14ac:dyDescent="0.25">
      <c r="A12" s="81"/>
      <c r="B12" s="82" t="s">
        <v>33</v>
      </c>
      <c r="C12" s="70">
        <v>26.31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43.54</v>
      </c>
    </row>
    <row r="15" spans="1:3" x14ac:dyDescent="0.25">
      <c r="A15" s="81"/>
      <c r="B15" s="88" t="s">
        <v>36</v>
      </c>
      <c r="C15" s="70">
        <v>4.01</v>
      </c>
    </row>
    <row r="16" spans="1:3" x14ac:dyDescent="0.25">
      <c r="A16" s="81"/>
      <c r="B16" s="82" t="s">
        <v>37</v>
      </c>
      <c r="C16" s="70">
        <f>5.4+1.5</f>
        <v>6.9</v>
      </c>
    </row>
    <row r="17" spans="1:3" x14ac:dyDescent="0.25">
      <c r="A17" s="89"/>
      <c r="B17" s="82" t="s">
        <v>95</v>
      </c>
      <c r="C17" s="70">
        <v>9.5</v>
      </c>
    </row>
    <row r="18" spans="1:3" x14ac:dyDescent="0.25">
      <c r="A18" s="90"/>
      <c r="B18" s="88" t="s">
        <v>38</v>
      </c>
      <c r="C18" s="70">
        <v>2.5</v>
      </c>
    </row>
    <row r="19" spans="1:3" x14ac:dyDescent="0.25">
      <c r="A19" s="90"/>
      <c r="B19" s="88" t="s">
        <v>101</v>
      </c>
      <c r="C19" s="70">
        <v>16.23</v>
      </c>
    </row>
    <row r="20" spans="1:3" x14ac:dyDescent="0.25">
      <c r="A20" s="90"/>
      <c r="B20" s="88" t="s">
        <v>102</v>
      </c>
      <c r="C20" s="70">
        <v>12.36</v>
      </c>
    </row>
    <row r="21" spans="1:3" ht="18.75" x14ac:dyDescent="0.25">
      <c r="A21" s="92"/>
      <c r="B21" s="93" t="s">
        <v>39</v>
      </c>
      <c r="C21" s="94">
        <f t="shared" ref="C21" si="2">C7/C22*100</f>
        <v>100.58638140087859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6130.6722119999995</v>
      </c>
    </row>
    <row r="23" spans="1:3" ht="20.25" x14ac:dyDescent="0.3">
      <c r="A23" s="72">
        <v>2</v>
      </c>
      <c r="B23" s="76" t="s">
        <v>29</v>
      </c>
      <c r="C23" s="78">
        <f>25.73*17.63*12</f>
        <v>5443.4387999999999</v>
      </c>
    </row>
    <row r="24" spans="1:3" ht="20.25" x14ac:dyDescent="0.3">
      <c r="A24" s="72">
        <v>3</v>
      </c>
      <c r="B24" s="79" t="s">
        <v>30</v>
      </c>
      <c r="C24" s="80">
        <v>385.94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301.29341199999993</v>
      </c>
    </row>
    <row r="26" spans="1:3" x14ac:dyDescent="0.25">
      <c r="A26" s="81"/>
      <c r="B26" s="82" t="s">
        <v>32</v>
      </c>
      <c r="C26" s="70">
        <f>0.58296*25.73*15</f>
        <v>224.99341200000001</v>
      </c>
    </row>
    <row r="27" spans="1:3" x14ac:dyDescent="0.25">
      <c r="A27" s="81"/>
      <c r="B27" s="82" t="s">
        <v>33</v>
      </c>
      <c r="C27" s="70">
        <v>26.31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38.5</v>
      </c>
    </row>
    <row r="30" spans="1:3" x14ac:dyDescent="0.25">
      <c r="A30" s="81"/>
      <c r="B30" s="88" t="s">
        <v>36</v>
      </c>
      <c r="C30" s="70">
        <v>3.59</v>
      </c>
    </row>
    <row r="31" spans="1:3" x14ac:dyDescent="0.25">
      <c r="A31" s="81"/>
      <c r="B31" s="82" t="s">
        <v>37</v>
      </c>
      <c r="C31" s="70">
        <f>5.4</f>
        <v>5.4</v>
      </c>
    </row>
    <row r="32" spans="1:3" x14ac:dyDescent="0.25">
      <c r="A32" s="90"/>
      <c r="B32" s="88" t="s">
        <v>38</v>
      </c>
      <c r="C32" s="70">
        <v>2.5</v>
      </c>
    </row>
    <row r="33" spans="1:3" x14ac:dyDescent="0.25">
      <c r="A33" s="90"/>
      <c r="B33" s="82" t="s">
        <v>95</v>
      </c>
      <c r="C33" s="70">
        <v>3.56</v>
      </c>
    </row>
    <row r="34" spans="1:3" x14ac:dyDescent="0.25">
      <c r="A34" s="98"/>
      <c r="B34" s="99" t="s">
        <v>41</v>
      </c>
      <c r="C34" s="80">
        <f t="shared" ref="C34" si="5">C35+C62+C81+C83+C84</f>
        <v>7170.1500000000005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5539.33</v>
      </c>
    </row>
    <row r="36" spans="1:3" x14ac:dyDescent="0.25">
      <c r="A36" s="100">
        <v>2</v>
      </c>
      <c r="B36" s="76" t="s">
        <v>43</v>
      </c>
      <c r="C36" s="51">
        <v>995.47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1475.44</v>
      </c>
    </row>
    <row r="39" spans="1:3" x14ac:dyDescent="0.25">
      <c r="A39" s="100">
        <v>5</v>
      </c>
      <c r="B39" s="102" t="s">
        <v>46</v>
      </c>
      <c r="C39" s="51">
        <v>344.91</v>
      </c>
    </row>
    <row r="40" spans="1:3" ht="31.5" x14ac:dyDescent="0.25">
      <c r="A40" s="100">
        <v>6</v>
      </c>
      <c r="B40" s="102" t="s">
        <v>47</v>
      </c>
      <c r="C40" s="51">
        <v>60.92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2548.3000000000002</v>
      </c>
    </row>
    <row r="42" spans="1:3" x14ac:dyDescent="0.25">
      <c r="A42" s="100"/>
      <c r="B42" s="88" t="s">
        <v>49</v>
      </c>
      <c r="C42" s="104">
        <f>14.7+21.62+47.971+26.308+24.622+24.959-90</f>
        <v>70.180000000000007</v>
      </c>
    </row>
    <row r="43" spans="1:3" x14ac:dyDescent="0.25">
      <c r="A43" s="100"/>
      <c r="B43" s="88" t="s">
        <v>91</v>
      </c>
      <c r="C43" s="51">
        <f>316.68+404.44+439.74+123.08+63.18+100</f>
        <v>1447.1200000000001</v>
      </c>
    </row>
    <row r="44" spans="1:3" x14ac:dyDescent="0.25">
      <c r="A44" s="81"/>
      <c r="B44" s="88" t="s">
        <v>78</v>
      </c>
      <c r="C44" s="51">
        <v>77.010000000000005</v>
      </c>
    </row>
    <row r="45" spans="1:3" x14ac:dyDescent="0.25">
      <c r="A45" s="105"/>
      <c r="B45" s="88" t="s">
        <v>90</v>
      </c>
      <c r="C45" s="51">
        <v>347</v>
      </c>
    </row>
    <row r="46" spans="1:3" x14ac:dyDescent="0.25">
      <c r="A46" s="100"/>
      <c r="B46" s="88" t="s">
        <v>94</v>
      </c>
      <c r="C46" s="51">
        <v>606.99</v>
      </c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83.92</v>
      </c>
    </row>
    <row r="49" spans="1:3" x14ac:dyDescent="0.25">
      <c r="A49" s="100"/>
      <c r="B49" s="106" t="s">
        <v>52</v>
      </c>
      <c r="C49" s="51">
        <v>23.68</v>
      </c>
    </row>
    <row r="50" spans="1:3" x14ac:dyDescent="0.25">
      <c r="A50" s="100"/>
      <c r="B50" s="106" t="s">
        <v>53</v>
      </c>
      <c r="C50" s="51">
        <v>7.25</v>
      </c>
    </row>
    <row r="51" spans="1:3" x14ac:dyDescent="0.25">
      <c r="A51" s="100"/>
      <c r="B51" s="106" t="s">
        <v>54</v>
      </c>
      <c r="C51" s="51">
        <v>12.37</v>
      </c>
    </row>
    <row r="52" spans="1:3" x14ac:dyDescent="0.25">
      <c r="A52" s="100"/>
      <c r="B52" s="106" t="s">
        <v>55</v>
      </c>
      <c r="C52" s="51">
        <v>16.79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5.46</v>
      </c>
    </row>
    <row r="55" spans="1:3" x14ac:dyDescent="0.25">
      <c r="A55" s="100"/>
      <c r="B55" s="88" t="s">
        <v>96</v>
      </c>
      <c r="C55" s="51">
        <v>15.89</v>
      </c>
    </row>
    <row r="56" spans="1:3" x14ac:dyDescent="0.25">
      <c r="A56" s="100"/>
      <c r="B56" s="88" t="s">
        <v>97</v>
      </c>
      <c r="C56" s="51">
        <v>2.48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10.81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30.37</v>
      </c>
    </row>
    <row r="60" spans="1:3" x14ac:dyDescent="0.25">
      <c r="A60" s="100"/>
      <c r="B60" s="82" t="s">
        <v>58</v>
      </c>
      <c r="C60" s="51">
        <v>21.57</v>
      </c>
    </row>
    <row r="61" spans="1:3" x14ac:dyDescent="0.25">
      <c r="A61" s="100"/>
      <c r="B61" s="82" t="s">
        <v>59</v>
      </c>
      <c r="C61" s="51">
        <v>8.8000000000000007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1048.0700000000002</v>
      </c>
    </row>
    <row r="63" spans="1:3" x14ac:dyDescent="0.25">
      <c r="A63" s="100">
        <v>11</v>
      </c>
      <c r="B63" s="76" t="s">
        <v>61</v>
      </c>
      <c r="C63" s="51">
        <v>233.92</v>
      </c>
    </row>
    <row r="64" spans="1:3" x14ac:dyDescent="0.25">
      <c r="A64" s="100">
        <v>12</v>
      </c>
      <c r="B64" s="108" t="s">
        <v>62</v>
      </c>
      <c r="C64" s="51">
        <v>619.11</v>
      </c>
    </row>
    <row r="65" spans="1:3" x14ac:dyDescent="0.25">
      <c r="A65" s="100">
        <v>13</v>
      </c>
      <c r="B65" s="108" t="s">
        <v>46</v>
      </c>
      <c r="C65" s="51">
        <v>125.83</v>
      </c>
    </row>
    <row r="66" spans="1:3" x14ac:dyDescent="0.25">
      <c r="A66" s="100">
        <v>14</v>
      </c>
      <c r="B66" s="103" t="s">
        <v>63</v>
      </c>
      <c r="C66" s="80">
        <f t="shared" ref="C66" si="11">C68</f>
        <v>10.09</v>
      </c>
    </row>
    <row r="67" spans="1:3" x14ac:dyDescent="0.25">
      <c r="A67" s="109"/>
      <c r="B67" s="106" t="s">
        <v>99</v>
      </c>
      <c r="C67" s="51">
        <v>19.850000000000001</v>
      </c>
    </row>
    <row r="68" spans="1:3" x14ac:dyDescent="0.25">
      <c r="A68" s="100"/>
      <c r="B68" s="108" t="s">
        <v>64</v>
      </c>
      <c r="C68" s="51">
        <v>10.09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59.120000000000012</v>
      </c>
    </row>
    <row r="70" spans="1:3" x14ac:dyDescent="0.25">
      <c r="A70" s="100"/>
      <c r="B70" s="82" t="s">
        <v>66</v>
      </c>
      <c r="C70" s="51">
        <v>0.84</v>
      </c>
    </row>
    <row r="71" spans="1:3" x14ac:dyDescent="0.25">
      <c r="A71" s="100"/>
      <c r="B71" s="82" t="s">
        <v>67</v>
      </c>
      <c r="C71" s="51">
        <v>16.28</v>
      </c>
    </row>
    <row r="72" spans="1:3" x14ac:dyDescent="0.25">
      <c r="A72" s="100"/>
      <c r="B72" s="82" t="s">
        <v>68</v>
      </c>
      <c r="C72" s="51">
        <v>8.08</v>
      </c>
    </row>
    <row r="73" spans="1:3" x14ac:dyDescent="0.25">
      <c r="A73" s="112"/>
      <c r="B73" s="82" t="s">
        <v>69</v>
      </c>
      <c r="C73" s="51">
        <v>6.71</v>
      </c>
    </row>
    <row r="74" spans="1:3" x14ac:dyDescent="0.25">
      <c r="A74" s="112"/>
      <c r="B74" s="82" t="s">
        <v>70</v>
      </c>
      <c r="C74" s="87">
        <v>0.84</v>
      </c>
    </row>
    <row r="75" spans="1:3" x14ac:dyDescent="0.25">
      <c r="A75" s="112"/>
      <c r="B75" s="82" t="s">
        <v>71</v>
      </c>
      <c r="C75" s="87">
        <v>2.27</v>
      </c>
    </row>
    <row r="76" spans="1:3" x14ac:dyDescent="0.25">
      <c r="A76" s="112"/>
      <c r="B76" s="82" t="s">
        <v>72</v>
      </c>
      <c r="C76" s="87">
        <v>1.1599999999999999</v>
      </c>
    </row>
    <row r="77" spans="1:3" x14ac:dyDescent="0.25">
      <c r="A77" s="100"/>
      <c r="B77" s="82" t="s">
        <v>98</v>
      </c>
      <c r="C77" s="51">
        <v>11.2</v>
      </c>
    </row>
    <row r="78" spans="1:3" x14ac:dyDescent="0.25">
      <c r="A78" s="100"/>
      <c r="B78" s="82" t="s">
        <v>73</v>
      </c>
      <c r="C78" s="51">
        <v>0.44</v>
      </c>
    </row>
    <row r="79" spans="1:3" x14ac:dyDescent="0.25">
      <c r="A79" s="100"/>
      <c r="B79" s="82" t="s">
        <v>100</v>
      </c>
      <c r="C79" s="51">
        <v>0.06</v>
      </c>
    </row>
    <row r="80" spans="1:3" x14ac:dyDescent="0.25">
      <c r="A80" s="113"/>
      <c r="B80" s="82" t="s">
        <v>74</v>
      </c>
      <c r="C80" s="51">
        <v>10.210000000000001</v>
      </c>
    </row>
    <row r="81" spans="1:3" x14ac:dyDescent="0.25">
      <c r="A81" s="114"/>
      <c r="B81" s="82" t="s">
        <v>75</v>
      </c>
      <c r="C81" s="51">
        <v>158.35</v>
      </c>
    </row>
    <row r="82" spans="1:3" x14ac:dyDescent="0.25">
      <c r="A82" s="114"/>
      <c r="B82" s="108" t="s">
        <v>76</v>
      </c>
      <c r="C82" s="51">
        <v>1.03</v>
      </c>
    </row>
    <row r="83" spans="1:3" x14ac:dyDescent="0.25">
      <c r="A83" s="115">
        <v>18</v>
      </c>
      <c r="B83" s="102" t="s">
        <v>77</v>
      </c>
      <c r="C83" s="51">
        <v>81.099999999999994</v>
      </c>
    </row>
    <row r="84" spans="1:3" ht="18" x14ac:dyDescent="0.25">
      <c r="A84" s="116">
        <v>19</v>
      </c>
      <c r="B84" s="79" t="s">
        <v>30</v>
      </c>
      <c r="C84" s="117">
        <v>343.3</v>
      </c>
    </row>
    <row r="85" spans="1:3" ht="29.25" x14ac:dyDescent="0.25">
      <c r="A85" s="118"/>
      <c r="B85" s="119" t="s">
        <v>105</v>
      </c>
      <c r="C85" s="120">
        <f t="shared" ref="C85" si="13">C22-C34</f>
        <v>-1039.4777880000011</v>
      </c>
    </row>
    <row r="86" spans="1:3" ht="31.5" x14ac:dyDescent="0.25">
      <c r="A86" s="60"/>
      <c r="B86" s="61" t="s">
        <v>92</v>
      </c>
      <c r="C86" s="80">
        <v>624.82000000000005</v>
      </c>
    </row>
    <row r="87" spans="1:3" x14ac:dyDescent="0.25">
      <c r="C87" s="86"/>
    </row>
  </sheetData>
  <pageMargins left="0.7" right="0.7" top="0.4" bottom="0.2" header="0.3" footer="0.3"/>
  <pageSetup paperSize="9" scale="49" orientation="portrait" verticalDpi="300" r:id="rId1"/>
  <rowBreaks count="1" manualBreakCount="1">
    <brk id="7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58" zoomScale="60" zoomScaleNormal="100" workbookViewId="0">
      <selection activeCell="C1" sqref="C1"/>
    </sheetView>
  </sheetViews>
  <sheetFormatPr defaultRowHeight="15.75" x14ac:dyDescent="0.25"/>
  <cols>
    <col min="1" max="1" width="6.85546875" style="52" customWidth="1"/>
    <col min="2" max="2" width="71.140625" style="55" customWidth="1"/>
    <col min="3" max="3" width="29.28515625" style="55" customWidth="1"/>
  </cols>
  <sheetData>
    <row r="1" spans="1:3" x14ac:dyDescent="0.25">
      <c r="B1" s="53" t="s">
        <v>87</v>
      </c>
    </row>
    <row r="2" spans="1:3" x14ac:dyDescent="0.25">
      <c r="B2" s="121"/>
    </row>
    <row r="3" spans="1:3" x14ac:dyDescent="0.25">
      <c r="A3" s="60"/>
      <c r="B3" s="61"/>
      <c r="C3" s="63" t="s">
        <v>81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9.61</v>
      </c>
    </row>
    <row r="6" spans="1:3" ht="31.5" x14ac:dyDescent="0.25">
      <c r="A6" s="67"/>
      <c r="B6" s="68" t="s">
        <v>89</v>
      </c>
      <c r="C6" s="70">
        <v>359.6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3223.8535999999999</v>
      </c>
    </row>
    <row r="8" spans="1:3" ht="20.25" x14ac:dyDescent="0.3">
      <c r="A8" s="72">
        <v>2</v>
      </c>
      <c r="B8" s="76" t="s">
        <v>29</v>
      </c>
      <c r="C8" s="78">
        <f>25.73*9.61*12</f>
        <v>2967.1835999999998</v>
      </c>
    </row>
    <row r="9" spans="1:3" ht="20.25" x14ac:dyDescent="0.3">
      <c r="A9" s="72">
        <v>3</v>
      </c>
      <c r="B9" s="79" t="s">
        <v>30</v>
      </c>
      <c r="C9" s="80">
        <v>209.82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46.85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14.34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23.73</v>
      </c>
    </row>
    <row r="15" spans="1:3" x14ac:dyDescent="0.25">
      <c r="A15" s="81"/>
      <c r="B15" s="88" t="s">
        <v>36</v>
      </c>
      <c r="C15" s="70">
        <v>2.1800000000000002</v>
      </c>
    </row>
    <row r="16" spans="1:3" x14ac:dyDescent="0.25">
      <c r="A16" s="81"/>
      <c r="B16" s="82" t="s">
        <v>37</v>
      </c>
      <c r="C16" s="70">
        <f>3+1.5</f>
        <v>4.5</v>
      </c>
    </row>
    <row r="17" spans="1:3" x14ac:dyDescent="0.25">
      <c r="A17" s="89"/>
      <c r="B17" s="82" t="s">
        <v>95</v>
      </c>
      <c r="C17" s="70">
        <v>5.2</v>
      </c>
    </row>
    <row r="18" spans="1:3" x14ac:dyDescent="0.25">
      <c r="A18" s="90"/>
      <c r="B18" s="88" t="s">
        <v>38</v>
      </c>
      <c r="C18" s="70">
        <v>2.1</v>
      </c>
    </row>
    <row r="19" spans="1:3" x14ac:dyDescent="0.25">
      <c r="A19" s="90"/>
      <c r="B19" s="88" t="s">
        <v>101</v>
      </c>
      <c r="C19" s="70">
        <v>8.85</v>
      </c>
    </row>
    <row r="20" spans="1:3" x14ac:dyDescent="0.25">
      <c r="A20" s="90"/>
      <c r="B20" s="88" t="s">
        <v>102</v>
      </c>
      <c r="C20" s="70">
        <v>7.85</v>
      </c>
    </row>
    <row r="21" spans="1:3" ht="18.75" x14ac:dyDescent="0.25">
      <c r="A21" s="92"/>
      <c r="B21" s="93" t="s">
        <v>39</v>
      </c>
      <c r="C21" s="94">
        <f t="shared" ref="C21" si="2">C7/C22*100</f>
        <v>99.938620516569728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3225.8335999999999</v>
      </c>
    </row>
    <row r="23" spans="1:3" ht="20.25" x14ac:dyDescent="0.3">
      <c r="A23" s="72">
        <v>2</v>
      </c>
      <c r="B23" s="76" t="s">
        <v>29</v>
      </c>
      <c r="C23" s="78">
        <f>25.73*9.61*12</f>
        <v>2967.1835999999998</v>
      </c>
    </row>
    <row r="24" spans="1:3" ht="20.25" x14ac:dyDescent="0.3">
      <c r="A24" s="72">
        <v>3</v>
      </c>
      <c r="B24" s="79" t="s">
        <v>30</v>
      </c>
      <c r="C24" s="80">
        <v>210.37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48.28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14.34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25.99</v>
      </c>
    </row>
    <row r="30" spans="1:3" x14ac:dyDescent="0.25">
      <c r="A30" s="81"/>
      <c r="B30" s="88" t="s">
        <v>36</v>
      </c>
      <c r="C30" s="70">
        <v>2.85</v>
      </c>
    </row>
    <row r="31" spans="1:3" x14ac:dyDescent="0.25">
      <c r="A31" s="81"/>
      <c r="B31" s="82" t="s">
        <v>37</v>
      </c>
      <c r="C31" s="70">
        <f>3</f>
        <v>3</v>
      </c>
    </row>
    <row r="32" spans="1:3" x14ac:dyDescent="0.25">
      <c r="A32" s="90"/>
      <c r="B32" s="88" t="s">
        <v>38</v>
      </c>
      <c r="C32" s="70">
        <v>2.1</v>
      </c>
    </row>
    <row r="33" spans="1:3" x14ac:dyDescent="0.25">
      <c r="A33" s="90"/>
      <c r="B33" s="82" t="s">
        <v>95</v>
      </c>
      <c r="C33" s="70">
        <v>1.94</v>
      </c>
    </row>
    <row r="34" spans="1:3" x14ac:dyDescent="0.25">
      <c r="A34" s="98"/>
      <c r="B34" s="99" t="s">
        <v>41</v>
      </c>
      <c r="C34" s="80">
        <f t="shared" ref="C34" si="5">C35+C62+C81+C83+C84</f>
        <v>2983.0450000000001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2083.1849999999999</v>
      </c>
    </row>
    <row r="36" spans="1:3" x14ac:dyDescent="0.25">
      <c r="A36" s="100">
        <v>2</v>
      </c>
      <c r="B36" s="76" t="s">
        <v>43</v>
      </c>
      <c r="C36" s="51">
        <v>542.62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804.25</v>
      </c>
    </row>
    <row r="39" spans="1:3" x14ac:dyDescent="0.25">
      <c r="A39" s="100">
        <v>5</v>
      </c>
      <c r="B39" s="102" t="s">
        <v>46</v>
      </c>
      <c r="C39" s="51">
        <v>173.46</v>
      </c>
    </row>
    <row r="40" spans="1:3" ht="31.5" x14ac:dyDescent="0.25">
      <c r="A40" s="100">
        <v>6</v>
      </c>
      <c r="B40" s="102" t="s">
        <v>47</v>
      </c>
      <c r="C40" s="51">
        <v>33.21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467.42500000000001</v>
      </c>
    </row>
    <row r="42" spans="1:3" x14ac:dyDescent="0.25">
      <c r="A42" s="100"/>
      <c r="B42" s="88" t="s">
        <v>49</v>
      </c>
      <c r="C42" s="104">
        <f>37.1+17.155+70.55-37</f>
        <v>87.805000000000007</v>
      </c>
    </row>
    <row r="43" spans="1:3" x14ac:dyDescent="0.25">
      <c r="A43" s="100"/>
      <c r="B43" s="88" t="s">
        <v>91</v>
      </c>
      <c r="C43" s="51">
        <f>337.64</f>
        <v>337.64</v>
      </c>
    </row>
    <row r="44" spans="1:3" x14ac:dyDescent="0.25">
      <c r="A44" s="81"/>
      <c r="B44" s="88" t="s">
        <v>78</v>
      </c>
      <c r="C44" s="51">
        <v>41.98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45.660000000000004</v>
      </c>
    </row>
    <row r="49" spans="1:3" x14ac:dyDescent="0.25">
      <c r="A49" s="100"/>
      <c r="B49" s="106" t="s">
        <v>52</v>
      </c>
      <c r="C49" s="51">
        <v>12.91</v>
      </c>
    </row>
    <row r="50" spans="1:3" x14ac:dyDescent="0.25">
      <c r="A50" s="100"/>
      <c r="B50" s="106" t="s">
        <v>53</v>
      </c>
      <c r="C50" s="51">
        <v>3.87</v>
      </c>
    </row>
    <row r="51" spans="1:3" x14ac:dyDescent="0.25">
      <c r="A51" s="100"/>
      <c r="B51" s="106" t="s">
        <v>54</v>
      </c>
      <c r="C51" s="51">
        <v>6.74</v>
      </c>
    </row>
    <row r="52" spans="1:3" x14ac:dyDescent="0.25">
      <c r="A52" s="100"/>
      <c r="B52" s="106" t="s">
        <v>55</v>
      </c>
      <c r="C52" s="51">
        <v>9.15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2.98</v>
      </c>
    </row>
    <row r="55" spans="1:3" x14ac:dyDescent="0.25">
      <c r="A55" s="100"/>
      <c r="B55" s="88" t="s">
        <v>96</v>
      </c>
      <c r="C55" s="51">
        <v>8.66</v>
      </c>
    </row>
    <row r="56" spans="1:3" x14ac:dyDescent="0.25">
      <c r="A56" s="100"/>
      <c r="B56" s="88" t="s">
        <v>97</v>
      </c>
      <c r="C56" s="51">
        <v>1.35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5.89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16.559999999999999</v>
      </c>
    </row>
    <row r="60" spans="1:3" x14ac:dyDescent="0.25">
      <c r="A60" s="100"/>
      <c r="B60" s="82" t="s">
        <v>58</v>
      </c>
      <c r="C60" s="51">
        <v>11.76</v>
      </c>
    </row>
    <row r="61" spans="1:3" x14ac:dyDescent="0.25">
      <c r="A61" s="100"/>
      <c r="B61" s="82" t="s">
        <v>59</v>
      </c>
      <c r="C61" s="51">
        <v>4.8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582.21</v>
      </c>
    </row>
    <row r="63" spans="1:3" x14ac:dyDescent="0.25">
      <c r="A63" s="100">
        <v>11</v>
      </c>
      <c r="B63" s="76" t="s">
        <v>61</v>
      </c>
      <c r="C63" s="51">
        <v>127.51</v>
      </c>
    </row>
    <row r="64" spans="1:3" x14ac:dyDescent="0.25">
      <c r="A64" s="100">
        <v>12</v>
      </c>
      <c r="B64" s="108" t="s">
        <v>62</v>
      </c>
      <c r="C64" s="51">
        <v>337.47</v>
      </c>
    </row>
    <row r="65" spans="1:3" x14ac:dyDescent="0.25">
      <c r="A65" s="100">
        <v>13</v>
      </c>
      <c r="B65" s="108" t="s">
        <v>46</v>
      </c>
      <c r="C65" s="51">
        <v>79.489999999999995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5.5</v>
      </c>
    </row>
    <row r="67" spans="1:3" x14ac:dyDescent="0.25">
      <c r="A67" s="109"/>
      <c r="B67" s="106" t="s">
        <v>99</v>
      </c>
      <c r="C67" s="51">
        <v>10.82</v>
      </c>
    </row>
    <row r="68" spans="1:3" x14ac:dyDescent="0.25">
      <c r="A68" s="100"/>
      <c r="B68" s="108" t="s">
        <v>64</v>
      </c>
      <c r="C68" s="51">
        <v>5.5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32.24</v>
      </c>
    </row>
    <row r="70" spans="1:3" x14ac:dyDescent="0.25">
      <c r="A70" s="100"/>
      <c r="B70" s="82" t="s">
        <v>66</v>
      </c>
      <c r="C70" s="51">
        <v>0.46</v>
      </c>
    </row>
    <row r="71" spans="1:3" x14ac:dyDescent="0.25">
      <c r="A71" s="100"/>
      <c r="B71" s="82" t="s">
        <v>67</v>
      </c>
      <c r="C71" s="51">
        <v>8.8800000000000008</v>
      </c>
    </row>
    <row r="72" spans="1:3" x14ac:dyDescent="0.25">
      <c r="A72" s="100"/>
      <c r="B72" s="82" t="s">
        <v>68</v>
      </c>
      <c r="C72" s="51">
        <v>4.41</v>
      </c>
    </row>
    <row r="73" spans="1:3" x14ac:dyDescent="0.25">
      <c r="A73" s="112"/>
      <c r="B73" s="82" t="s">
        <v>69</v>
      </c>
      <c r="C73" s="51">
        <v>3.66</v>
      </c>
    </row>
    <row r="74" spans="1:3" x14ac:dyDescent="0.25">
      <c r="A74" s="112"/>
      <c r="B74" s="82" t="s">
        <v>70</v>
      </c>
      <c r="C74" s="87">
        <v>0.46</v>
      </c>
    </row>
    <row r="75" spans="1:3" x14ac:dyDescent="0.25">
      <c r="A75" s="112"/>
      <c r="B75" s="82" t="s">
        <v>71</v>
      </c>
      <c r="C75" s="87">
        <v>1.24</v>
      </c>
    </row>
    <row r="76" spans="1:3" x14ac:dyDescent="0.25">
      <c r="A76" s="112"/>
      <c r="B76" s="82" t="s">
        <v>72</v>
      </c>
      <c r="C76" s="87">
        <v>0.63</v>
      </c>
    </row>
    <row r="77" spans="1:3" x14ac:dyDescent="0.25">
      <c r="A77" s="100"/>
      <c r="B77" s="82" t="s">
        <v>98</v>
      </c>
      <c r="C77" s="51">
        <v>6.11</v>
      </c>
    </row>
    <row r="78" spans="1:3" x14ac:dyDescent="0.25">
      <c r="A78" s="100"/>
      <c r="B78" s="82" t="s">
        <v>73</v>
      </c>
      <c r="C78" s="51">
        <v>0.24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5.56</v>
      </c>
    </row>
    <row r="81" spans="1:3" x14ac:dyDescent="0.25">
      <c r="A81" s="114"/>
      <c r="B81" s="82" t="s">
        <v>75</v>
      </c>
      <c r="C81" s="51">
        <v>86.32</v>
      </c>
    </row>
    <row r="82" spans="1:3" x14ac:dyDescent="0.25">
      <c r="A82" s="114"/>
      <c r="B82" s="108" t="s">
        <v>76</v>
      </c>
      <c r="C82" s="51">
        <v>0.56000000000000005</v>
      </c>
    </row>
    <row r="83" spans="1:3" x14ac:dyDescent="0.25">
      <c r="A83" s="115">
        <v>18</v>
      </c>
      <c r="B83" s="102" t="s">
        <v>77</v>
      </c>
      <c r="C83" s="51">
        <v>44.2</v>
      </c>
    </row>
    <row r="84" spans="1:3" ht="18" x14ac:dyDescent="0.25">
      <c r="A84" s="116">
        <v>19</v>
      </c>
      <c r="B84" s="79" t="s">
        <v>30</v>
      </c>
      <c r="C84" s="117">
        <v>187.13</v>
      </c>
    </row>
    <row r="85" spans="1:3" ht="29.25" x14ac:dyDescent="0.25">
      <c r="A85" s="118"/>
      <c r="B85" s="119" t="s">
        <v>105</v>
      </c>
      <c r="C85" s="120">
        <f t="shared" ref="C85" si="13">C22-C34</f>
        <v>242.78859999999986</v>
      </c>
    </row>
    <row r="86" spans="1:3" ht="31.5" x14ac:dyDescent="0.25">
      <c r="A86" s="60"/>
      <c r="B86" s="61" t="s">
        <v>92</v>
      </c>
      <c r="C86" s="80">
        <v>369.87</v>
      </c>
    </row>
    <row r="87" spans="1:3" x14ac:dyDescent="0.25">
      <c r="C87" s="86"/>
    </row>
  </sheetData>
  <pageMargins left="0.7" right="0.7" top="0.24" bottom="0.2" header="0.3" footer="0.3"/>
  <pageSetup paperSize="9" scale="56" orientation="portrait" verticalDpi="300" r:id="rId1"/>
  <rowBreaks count="1" manualBreakCount="1">
    <brk id="6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13" zoomScale="60" zoomScaleNormal="100" workbookViewId="0">
      <selection activeCell="F9" sqref="F9"/>
    </sheetView>
  </sheetViews>
  <sheetFormatPr defaultRowHeight="15.75" x14ac:dyDescent="0.25"/>
  <cols>
    <col min="1" max="1" width="6.85546875" style="1" customWidth="1"/>
    <col min="2" max="2" width="98.140625" style="3" customWidth="1"/>
    <col min="3" max="3" width="27" style="55" customWidth="1"/>
  </cols>
  <sheetData>
    <row r="1" spans="1:3" x14ac:dyDescent="0.25">
      <c r="B1" s="2" t="s">
        <v>87</v>
      </c>
    </row>
    <row r="2" spans="1:3" x14ac:dyDescent="0.25">
      <c r="B2" s="45"/>
    </row>
    <row r="3" spans="1:3" x14ac:dyDescent="0.25">
      <c r="A3" s="4"/>
      <c r="B3" s="46"/>
      <c r="C3" s="63" t="s">
        <v>82</v>
      </c>
    </row>
    <row r="4" spans="1:3" x14ac:dyDescent="0.25">
      <c r="A4" s="5" t="s">
        <v>24</v>
      </c>
      <c r="B4" s="6" t="s">
        <v>25</v>
      </c>
      <c r="C4" s="66" t="s">
        <v>26</v>
      </c>
    </row>
    <row r="5" spans="1:3" x14ac:dyDescent="0.25">
      <c r="A5" s="4"/>
      <c r="B5" s="46" t="s">
        <v>27</v>
      </c>
      <c r="C5" s="61">
        <v>18.190000000000001</v>
      </c>
    </row>
    <row r="6" spans="1:3" x14ac:dyDescent="0.25">
      <c r="A6" s="20"/>
      <c r="B6" s="25" t="s">
        <v>89</v>
      </c>
      <c r="C6" s="70">
        <v>615.04</v>
      </c>
    </row>
    <row r="7" spans="1:3" ht="20.25" x14ac:dyDescent="0.3">
      <c r="A7" s="8">
        <v>1</v>
      </c>
      <c r="B7" s="9" t="s">
        <v>28</v>
      </c>
      <c r="C7" s="69">
        <f t="shared" ref="C7" si="0">C8+C9+C10</f>
        <v>6200.8203395999999</v>
      </c>
    </row>
    <row r="8" spans="1:3" ht="20.25" x14ac:dyDescent="0.3">
      <c r="A8" s="8">
        <v>2</v>
      </c>
      <c r="B8" s="10" t="s">
        <v>29</v>
      </c>
      <c r="C8" s="78">
        <f>25.73*18.19*12</f>
        <v>5616.3444</v>
      </c>
    </row>
    <row r="9" spans="1:3" ht="20.25" x14ac:dyDescent="0.3">
      <c r="A9" s="8">
        <v>3</v>
      </c>
      <c r="B9" s="13" t="s">
        <v>30</v>
      </c>
      <c r="C9" s="80">
        <v>397.15</v>
      </c>
    </row>
    <row r="10" spans="1:3" ht="20.25" x14ac:dyDescent="0.3">
      <c r="A10" s="8">
        <v>4</v>
      </c>
      <c r="B10" s="13" t="s">
        <v>31</v>
      </c>
      <c r="C10" s="80">
        <f t="shared" ref="C10" si="1">C11+C12+C13+C14+C15+C16+C18</f>
        <v>187.3259396</v>
      </c>
    </row>
    <row r="11" spans="1:3" x14ac:dyDescent="0.25">
      <c r="A11" s="30"/>
      <c r="B11" s="33" t="s">
        <v>32</v>
      </c>
      <c r="C11" s="70">
        <f>0.23956*25.73*17</f>
        <v>104.78593960000001</v>
      </c>
    </row>
    <row r="12" spans="1:3" x14ac:dyDescent="0.25">
      <c r="A12" s="30"/>
      <c r="B12" s="33" t="s">
        <v>33</v>
      </c>
      <c r="C12" s="70">
        <v>27.14</v>
      </c>
    </row>
    <row r="13" spans="1:3" x14ac:dyDescent="0.25">
      <c r="A13" s="30"/>
      <c r="B13" s="33" t="s">
        <v>34</v>
      </c>
      <c r="C13" s="70"/>
    </row>
    <row r="14" spans="1:3" x14ac:dyDescent="0.25">
      <c r="A14" s="30"/>
      <c r="B14" s="28" t="s">
        <v>35</v>
      </c>
      <c r="C14" s="87">
        <v>44.92</v>
      </c>
    </row>
    <row r="15" spans="1:3" x14ac:dyDescent="0.25">
      <c r="A15" s="30"/>
      <c r="B15" s="33" t="s">
        <v>36</v>
      </c>
      <c r="C15" s="70">
        <v>4.13</v>
      </c>
    </row>
    <row r="16" spans="1:3" x14ac:dyDescent="0.25">
      <c r="A16" s="47"/>
      <c r="B16" s="28" t="s">
        <v>37</v>
      </c>
      <c r="C16" s="70">
        <f>5.4+0.45</f>
        <v>5.8500000000000005</v>
      </c>
    </row>
    <row r="17" spans="1:3" ht="18.75" x14ac:dyDescent="0.25">
      <c r="A17" s="14"/>
      <c r="B17" s="15" t="s">
        <v>95</v>
      </c>
      <c r="C17" s="70">
        <v>9.8000000000000007</v>
      </c>
    </row>
    <row r="18" spans="1:3" ht="20.25" x14ac:dyDescent="0.3">
      <c r="A18" s="8"/>
      <c r="B18" s="9" t="s">
        <v>38</v>
      </c>
      <c r="C18" s="70">
        <v>0.5</v>
      </c>
    </row>
    <row r="19" spans="1:3" ht="20.25" x14ac:dyDescent="0.3">
      <c r="A19" s="8"/>
      <c r="B19" s="10" t="s">
        <v>101</v>
      </c>
      <c r="C19" s="70">
        <v>16.75</v>
      </c>
    </row>
    <row r="20" spans="1:3" ht="20.25" x14ac:dyDescent="0.3">
      <c r="A20" s="8"/>
      <c r="B20" s="13" t="s">
        <v>102</v>
      </c>
      <c r="C20" s="70">
        <v>15.75</v>
      </c>
    </row>
    <row r="21" spans="1:3" ht="20.25" x14ac:dyDescent="0.3">
      <c r="A21" s="8"/>
      <c r="B21" s="13" t="s">
        <v>39</v>
      </c>
      <c r="C21" s="94">
        <f t="shared" ref="C21" si="2">C7/C22*100</f>
        <v>100.48413194494744</v>
      </c>
    </row>
    <row r="22" spans="1:3" x14ac:dyDescent="0.25">
      <c r="A22" s="30">
        <v>1</v>
      </c>
      <c r="B22" s="33" t="s">
        <v>40</v>
      </c>
      <c r="C22" s="69">
        <f t="shared" ref="C22" si="3">C23+C24+C25</f>
        <v>6170.9448243999996</v>
      </c>
    </row>
    <row r="23" spans="1:3" x14ac:dyDescent="0.25">
      <c r="A23" s="30">
        <v>2</v>
      </c>
      <c r="B23" s="33" t="s">
        <v>29</v>
      </c>
      <c r="C23" s="78">
        <f>25.73*18.19*12</f>
        <v>5616.3444</v>
      </c>
    </row>
    <row r="24" spans="1:3" x14ac:dyDescent="0.25">
      <c r="A24" s="30">
        <v>3</v>
      </c>
      <c r="B24" s="33" t="s">
        <v>30</v>
      </c>
      <c r="C24" s="80">
        <v>398.2</v>
      </c>
    </row>
    <row r="25" spans="1:3" x14ac:dyDescent="0.25">
      <c r="A25" s="30">
        <v>4</v>
      </c>
      <c r="B25" s="28" t="s">
        <v>31</v>
      </c>
      <c r="C25" s="80">
        <f t="shared" ref="C25" si="4">C26+C27+C28+C29+C30+C31+C32</f>
        <v>156.40042439999999</v>
      </c>
    </row>
    <row r="26" spans="1:3" x14ac:dyDescent="0.25">
      <c r="A26" s="30"/>
      <c r="B26" s="33" t="s">
        <v>32</v>
      </c>
      <c r="C26" s="70">
        <f>0.23956*25.73*13</f>
        <v>80.130424399999995</v>
      </c>
    </row>
    <row r="27" spans="1:3" x14ac:dyDescent="0.25">
      <c r="A27" s="48"/>
      <c r="B27" s="33" t="s">
        <v>33</v>
      </c>
      <c r="C27" s="70">
        <v>27.14</v>
      </c>
    </row>
    <row r="28" spans="1:3" x14ac:dyDescent="0.25">
      <c r="A28" s="47"/>
      <c r="B28" s="28" t="s">
        <v>34</v>
      </c>
      <c r="C28" s="70"/>
    </row>
    <row r="29" spans="1:3" x14ac:dyDescent="0.25">
      <c r="A29" s="18"/>
      <c r="B29" s="19" t="s">
        <v>35</v>
      </c>
      <c r="C29" s="87">
        <v>39.729999999999997</v>
      </c>
    </row>
    <row r="30" spans="1:3" ht="20.25" x14ac:dyDescent="0.25">
      <c r="A30" s="21"/>
      <c r="B30" s="22" t="s">
        <v>36</v>
      </c>
      <c r="C30" s="70">
        <v>3.5</v>
      </c>
    </row>
    <row r="31" spans="1:3" x14ac:dyDescent="0.25">
      <c r="A31" s="21"/>
      <c r="B31" s="10" t="s">
        <v>37</v>
      </c>
      <c r="C31" s="70">
        <f>5.4</f>
        <v>5.4</v>
      </c>
    </row>
    <row r="32" spans="1:3" x14ac:dyDescent="0.25">
      <c r="A32" s="21"/>
      <c r="B32" s="26" t="s">
        <v>38</v>
      </c>
      <c r="C32" s="70">
        <v>0.5</v>
      </c>
    </row>
    <row r="33" spans="1:3" x14ac:dyDescent="0.25">
      <c r="A33" s="21"/>
      <c r="B33" s="26" t="s">
        <v>95</v>
      </c>
      <c r="C33" s="70">
        <v>3.68</v>
      </c>
    </row>
    <row r="34" spans="1:3" x14ac:dyDescent="0.25">
      <c r="A34" s="21"/>
      <c r="B34" s="26" t="s">
        <v>41</v>
      </c>
      <c r="C34" s="80">
        <f t="shared" ref="C34" si="5">C35+C62+C81+C83+C84</f>
        <v>5202.38</v>
      </c>
    </row>
    <row r="35" spans="1:3" x14ac:dyDescent="0.25">
      <c r="A35" s="21">
        <v>1</v>
      </c>
      <c r="B35" s="27" t="s">
        <v>42</v>
      </c>
      <c r="C35" s="80">
        <f t="shared" ref="C35" si="6">C36+C38+C39+C40+C41+C48+C59</f>
        <v>3519.0699999999997</v>
      </c>
    </row>
    <row r="36" spans="1:3" x14ac:dyDescent="0.25">
      <c r="A36" s="21">
        <v>2</v>
      </c>
      <c r="B36" s="28" t="s">
        <v>43</v>
      </c>
      <c r="C36" s="51">
        <v>1027.0899999999999</v>
      </c>
    </row>
    <row r="37" spans="1:3" x14ac:dyDescent="0.25">
      <c r="A37" s="21">
        <v>3</v>
      </c>
      <c r="B37" s="28" t="s">
        <v>44</v>
      </c>
      <c r="C37" s="68"/>
    </row>
    <row r="38" spans="1:3" x14ac:dyDescent="0.25">
      <c r="A38" s="30">
        <v>4</v>
      </c>
      <c r="B38" s="28" t="s">
        <v>45</v>
      </c>
      <c r="C38" s="51">
        <v>1522.31</v>
      </c>
    </row>
    <row r="39" spans="1:3" x14ac:dyDescent="0.25">
      <c r="A39" s="21">
        <v>5</v>
      </c>
      <c r="B39" s="27" t="s">
        <v>46</v>
      </c>
      <c r="C39" s="51">
        <v>386.19</v>
      </c>
    </row>
    <row r="40" spans="1:3" x14ac:dyDescent="0.25">
      <c r="A40" s="21">
        <v>6</v>
      </c>
      <c r="B40" s="32" t="s">
        <v>47</v>
      </c>
      <c r="C40" s="51">
        <v>62.85</v>
      </c>
    </row>
    <row r="41" spans="1:3" x14ac:dyDescent="0.25">
      <c r="A41" s="21">
        <v>7</v>
      </c>
      <c r="B41" s="32" t="s">
        <v>48</v>
      </c>
      <c r="C41" s="80">
        <f t="shared" ref="C41" si="7">C42+C43+C44+C45+C46+C47</f>
        <v>403.11999999999995</v>
      </c>
    </row>
    <row r="42" spans="1:3" x14ac:dyDescent="0.25">
      <c r="A42" s="21"/>
      <c r="B42" s="32" t="s">
        <v>49</v>
      </c>
      <c r="C42" s="104">
        <f>113.74+45.62-38-5</f>
        <v>116.35999999999999</v>
      </c>
    </row>
    <row r="43" spans="1:3" x14ac:dyDescent="0.25">
      <c r="A43" s="21"/>
      <c r="B43" s="32" t="s">
        <v>91</v>
      </c>
      <c r="C43" s="51">
        <f>20.8+50</f>
        <v>70.8</v>
      </c>
    </row>
    <row r="44" spans="1:3" x14ac:dyDescent="0.25">
      <c r="A44" s="21"/>
      <c r="B44" s="28" t="s">
        <v>78</v>
      </c>
      <c r="C44" s="51">
        <v>79.45</v>
      </c>
    </row>
    <row r="45" spans="1:3" x14ac:dyDescent="0.25">
      <c r="A45" s="21"/>
      <c r="B45" s="26" t="s">
        <v>90</v>
      </c>
      <c r="C45" s="51"/>
    </row>
    <row r="46" spans="1:3" x14ac:dyDescent="0.25">
      <c r="A46" s="21"/>
      <c r="B46" s="33" t="s">
        <v>94</v>
      </c>
      <c r="C46" s="51"/>
    </row>
    <row r="47" spans="1:3" x14ac:dyDescent="0.25">
      <c r="A47" s="21"/>
      <c r="B47" s="33" t="s">
        <v>50</v>
      </c>
      <c r="C47" s="51">
        <v>136.51</v>
      </c>
    </row>
    <row r="48" spans="1:3" ht="31.5" x14ac:dyDescent="0.25">
      <c r="A48" s="21">
        <v>8</v>
      </c>
      <c r="B48" s="10" t="s">
        <v>51</v>
      </c>
      <c r="C48" s="80">
        <f t="shared" ref="C48" si="8">C49+C50+C51+C52+C53+C54+C55+C56</f>
        <v>86.36</v>
      </c>
    </row>
    <row r="49" spans="1:3" x14ac:dyDescent="0.25">
      <c r="A49" s="21"/>
      <c r="B49" s="10" t="s">
        <v>52</v>
      </c>
      <c r="C49" s="51">
        <v>24.43</v>
      </c>
    </row>
    <row r="50" spans="1:3" x14ac:dyDescent="0.25">
      <c r="A50" s="21"/>
      <c r="B50" s="35" t="s">
        <v>53</v>
      </c>
      <c r="C50" s="51">
        <v>7.25</v>
      </c>
    </row>
    <row r="51" spans="1:3" x14ac:dyDescent="0.25">
      <c r="A51" s="21"/>
      <c r="B51" s="35" t="s">
        <v>54</v>
      </c>
      <c r="C51" s="51">
        <v>12.77</v>
      </c>
    </row>
    <row r="52" spans="1:3" x14ac:dyDescent="0.25">
      <c r="A52" s="21"/>
      <c r="B52" s="27" t="s">
        <v>55</v>
      </c>
      <c r="C52" s="51">
        <v>17.32</v>
      </c>
    </row>
    <row r="53" spans="1:3" x14ac:dyDescent="0.25">
      <c r="A53" s="21"/>
      <c r="B53" s="35" t="s">
        <v>93</v>
      </c>
      <c r="C53" s="51"/>
    </row>
    <row r="54" spans="1:3" x14ac:dyDescent="0.25">
      <c r="A54" s="21"/>
      <c r="B54" s="13" t="s">
        <v>56</v>
      </c>
      <c r="C54" s="51">
        <v>5.64</v>
      </c>
    </row>
    <row r="55" spans="1:3" x14ac:dyDescent="0.25">
      <c r="A55" s="21"/>
      <c r="B55" s="33" t="s">
        <v>96</v>
      </c>
      <c r="C55" s="51">
        <v>16.39</v>
      </c>
    </row>
    <row r="56" spans="1:3" x14ac:dyDescent="0.25">
      <c r="A56" s="21"/>
      <c r="B56" s="33" t="s">
        <v>97</v>
      </c>
      <c r="C56" s="51">
        <v>2.56</v>
      </c>
    </row>
    <row r="57" spans="1:3" x14ac:dyDescent="0.25">
      <c r="A57" s="21"/>
      <c r="B57" s="33" t="s">
        <v>103</v>
      </c>
      <c r="C57" s="51"/>
    </row>
    <row r="58" spans="1:3" x14ac:dyDescent="0.25">
      <c r="A58" s="36"/>
      <c r="B58" s="33" t="s">
        <v>104</v>
      </c>
      <c r="C58" s="51">
        <v>11.16</v>
      </c>
    </row>
    <row r="59" spans="1:3" x14ac:dyDescent="0.25">
      <c r="A59" s="36">
        <v>9</v>
      </c>
      <c r="B59" s="33" t="s">
        <v>57</v>
      </c>
      <c r="C59" s="107">
        <f t="shared" ref="C59" si="9">C60+C61</f>
        <v>31.15</v>
      </c>
    </row>
    <row r="60" spans="1:3" x14ac:dyDescent="0.25">
      <c r="A60" s="36"/>
      <c r="B60" s="33" t="s">
        <v>58</v>
      </c>
      <c r="C60" s="51">
        <v>22.25</v>
      </c>
    </row>
    <row r="61" spans="1:3" x14ac:dyDescent="0.25">
      <c r="A61" s="36"/>
      <c r="B61" s="33" t="s">
        <v>59</v>
      </c>
      <c r="C61" s="51">
        <v>8.9</v>
      </c>
    </row>
    <row r="62" spans="1:3" x14ac:dyDescent="0.25">
      <c r="A62" s="21">
        <v>10</v>
      </c>
      <c r="B62" s="33" t="s">
        <v>60</v>
      </c>
      <c r="C62" s="80">
        <f t="shared" ref="C62" si="10">C63+C64+C65+C66+C69</f>
        <v>1082.02</v>
      </c>
    </row>
    <row r="63" spans="1:3" x14ac:dyDescent="0.25">
      <c r="A63" s="21">
        <v>11</v>
      </c>
      <c r="B63" s="33" t="s">
        <v>61</v>
      </c>
      <c r="C63" s="51">
        <v>241.35</v>
      </c>
    </row>
    <row r="64" spans="1:3" x14ac:dyDescent="0.25">
      <c r="A64" s="21">
        <v>12</v>
      </c>
      <c r="B64" s="33" t="s">
        <v>62</v>
      </c>
      <c r="C64" s="51">
        <v>638.78</v>
      </c>
    </row>
    <row r="65" spans="1:3" x14ac:dyDescent="0.25">
      <c r="A65" s="38">
        <v>13</v>
      </c>
      <c r="B65" s="33" t="s">
        <v>46</v>
      </c>
      <c r="C65" s="51">
        <v>130.46</v>
      </c>
    </row>
    <row r="66" spans="1:3" x14ac:dyDescent="0.25">
      <c r="A66" s="39">
        <v>14</v>
      </c>
      <c r="B66" s="33" t="s">
        <v>63</v>
      </c>
      <c r="C66" s="80">
        <f t="shared" ref="C66" si="11">C68</f>
        <v>10.41</v>
      </c>
    </row>
    <row r="67" spans="1:3" x14ac:dyDescent="0.25">
      <c r="A67" s="39"/>
      <c r="B67" s="35" t="s">
        <v>99</v>
      </c>
      <c r="C67" s="51">
        <v>20.48</v>
      </c>
    </row>
    <row r="68" spans="1:3" x14ac:dyDescent="0.25">
      <c r="A68" s="40"/>
      <c r="B68" s="26" t="s">
        <v>64</v>
      </c>
      <c r="C68" s="51">
        <v>10.41</v>
      </c>
    </row>
    <row r="69" spans="1:3" ht="18" x14ac:dyDescent="0.25">
      <c r="A69" s="41">
        <v>15</v>
      </c>
      <c r="B69" s="13" t="s">
        <v>65</v>
      </c>
      <c r="C69" s="80">
        <f t="shared" ref="C69" si="12">C70+C71+C72+C73+C74+C75+C76+C77+C78+C79+C80+C82</f>
        <v>61.02</v>
      </c>
    </row>
    <row r="70" spans="1:3" ht="18" x14ac:dyDescent="0.25">
      <c r="A70" s="42"/>
      <c r="B70" s="43" t="s">
        <v>66</v>
      </c>
      <c r="C70" s="51">
        <v>0.87</v>
      </c>
    </row>
    <row r="71" spans="1:3" x14ac:dyDescent="0.25">
      <c r="A71" s="4"/>
      <c r="B71" s="46" t="s">
        <v>67</v>
      </c>
      <c r="C71" s="51">
        <v>16.8</v>
      </c>
    </row>
    <row r="72" spans="1:3" x14ac:dyDescent="0.25">
      <c r="B72" s="3" t="s">
        <v>68</v>
      </c>
      <c r="C72" s="51">
        <v>8.34</v>
      </c>
    </row>
    <row r="73" spans="1:3" x14ac:dyDescent="0.25">
      <c r="B73" s="3" t="s">
        <v>69</v>
      </c>
      <c r="C73" s="51">
        <v>6.93</v>
      </c>
    </row>
    <row r="74" spans="1:3" x14ac:dyDescent="0.25">
      <c r="B74" s="3" t="s">
        <v>70</v>
      </c>
      <c r="C74" s="87">
        <v>0.87</v>
      </c>
    </row>
    <row r="75" spans="1:3" x14ac:dyDescent="0.25">
      <c r="B75" s="3" t="s">
        <v>71</v>
      </c>
      <c r="C75" s="87">
        <v>2.34</v>
      </c>
    </row>
    <row r="76" spans="1:3" x14ac:dyDescent="0.25">
      <c r="B76" s="3" t="s">
        <v>72</v>
      </c>
      <c r="C76" s="87">
        <v>1.2</v>
      </c>
    </row>
    <row r="77" spans="1:3" x14ac:dyDescent="0.25">
      <c r="B77" s="3" t="s">
        <v>98</v>
      </c>
      <c r="C77" s="51">
        <v>11.56</v>
      </c>
    </row>
    <row r="78" spans="1:3" x14ac:dyDescent="0.25">
      <c r="B78" s="3" t="s">
        <v>73</v>
      </c>
      <c r="C78" s="51">
        <v>0.45</v>
      </c>
    </row>
    <row r="79" spans="1:3" x14ac:dyDescent="0.25">
      <c r="B79" s="3" t="s">
        <v>100</v>
      </c>
      <c r="C79" s="51">
        <v>0.06</v>
      </c>
    </row>
    <row r="80" spans="1:3" x14ac:dyDescent="0.25">
      <c r="B80" s="3" t="s">
        <v>74</v>
      </c>
      <c r="C80" s="51">
        <v>10.53</v>
      </c>
    </row>
    <row r="81" spans="1:3" x14ac:dyDescent="0.25">
      <c r="B81" s="3" t="s">
        <v>75</v>
      </c>
      <c r="C81" s="51">
        <v>163.38</v>
      </c>
    </row>
    <row r="82" spans="1:3" x14ac:dyDescent="0.25">
      <c r="B82" s="3" t="s">
        <v>76</v>
      </c>
      <c r="C82" s="51">
        <v>1.07</v>
      </c>
    </row>
    <row r="83" spans="1:3" x14ac:dyDescent="0.25">
      <c r="A83" s="1">
        <v>18</v>
      </c>
      <c r="B83" s="3" t="s">
        <v>77</v>
      </c>
      <c r="C83" s="51">
        <v>83.7</v>
      </c>
    </row>
    <row r="84" spans="1:3" x14ac:dyDescent="0.25">
      <c r="A84" s="1">
        <v>19</v>
      </c>
      <c r="B84" s="3" t="s">
        <v>30</v>
      </c>
      <c r="C84" s="117">
        <v>354.21</v>
      </c>
    </row>
    <row r="85" spans="1:3" ht="18" x14ac:dyDescent="0.25">
      <c r="B85" s="3" t="s">
        <v>106</v>
      </c>
      <c r="C85" s="120">
        <f t="shared" ref="C85" si="13">C22-C34</f>
        <v>968.56482439999945</v>
      </c>
    </row>
    <row r="86" spans="1:3" x14ac:dyDescent="0.25">
      <c r="B86" s="3" t="s">
        <v>92</v>
      </c>
      <c r="C86" s="80">
        <v>679.38</v>
      </c>
    </row>
    <row r="87" spans="1:3" x14ac:dyDescent="0.25">
      <c r="C87" s="86"/>
    </row>
  </sheetData>
  <pageMargins left="0.7" right="0.7" top="0.35" bottom="0.23" header="0.3" footer="0.3"/>
  <pageSetup paperSize="9" scale="53" orientation="portrait" verticalDpi="300" r:id="rId1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87"/>
  <sheetViews>
    <sheetView zoomScaleNormal="100" workbookViewId="0">
      <selection activeCell="E15" sqref="E15"/>
    </sheetView>
  </sheetViews>
  <sheetFormatPr defaultRowHeight="15.75" x14ac:dyDescent="0.25"/>
  <cols>
    <col min="1" max="1" width="6.85546875" style="52" customWidth="1"/>
    <col min="2" max="2" width="47.5703125" style="55" customWidth="1"/>
    <col min="3" max="3" width="32.42578125" style="55" customWidth="1"/>
  </cols>
  <sheetData>
    <row r="1" spans="1:3" ht="31.5" x14ac:dyDescent="0.25">
      <c r="B1" s="53" t="s">
        <v>87</v>
      </c>
    </row>
    <row r="2" spans="1:3" x14ac:dyDescent="0.25">
      <c r="B2" s="58"/>
    </row>
    <row r="3" spans="1:3" x14ac:dyDescent="0.25">
      <c r="A3" s="60"/>
      <c r="B3" s="61"/>
      <c r="C3" s="61" t="s">
        <v>18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3.69</v>
      </c>
    </row>
    <row r="6" spans="1:3" ht="31.5" x14ac:dyDescent="0.25">
      <c r="A6" s="67"/>
      <c r="B6" s="68" t="s">
        <v>89</v>
      </c>
      <c r="C6" s="70">
        <v>179.27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1323.8062997</v>
      </c>
    </row>
    <row r="8" spans="1:3" ht="31.5" x14ac:dyDescent="0.3">
      <c r="A8" s="72">
        <v>2</v>
      </c>
      <c r="B8" s="76" t="s">
        <v>29</v>
      </c>
      <c r="C8" s="78">
        <f>25.73*3.69*12</f>
        <v>1139.3244</v>
      </c>
    </row>
    <row r="9" spans="1:3" ht="31.5" x14ac:dyDescent="0.3">
      <c r="A9" s="72">
        <v>3</v>
      </c>
      <c r="B9" s="79" t="s">
        <v>30</v>
      </c>
      <c r="C9" s="80">
        <v>80.569999999999993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103.91189970000001</v>
      </c>
    </row>
    <row r="11" spans="1:3" ht="30" x14ac:dyDescent="0.25">
      <c r="A11" s="81"/>
      <c r="B11" s="82" t="s">
        <v>32</v>
      </c>
      <c r="C11" s="70">
        <f>0.19417*25.73*17</f>
        <v>84.931899700000002</v>
      </c>
    </row>
    <row r="12" spans="1:3" x14ac:dyDescent="0.25">
      <c r="A12" s="81"/>
      <c r="B12" s="82" t="s">
        <v>33</v>
      </c>
      <c r="C12" s="70">
        <v>5.51</v>
      </c>
    </row>
    <row r="13" spans="1:3" ht="45" x14ac:dyDescent="0.25">
      <c r="A13" s="81"/>
      <c r="B13" s="82" t="s">
        <v>34</v>
      </c>
      <c r="C13" s="70"/>
    </row>
    <row r="14" spans="1:3" ht="30" x14ac:dyDescent="0.25">
      <c r="A14" s="81"/>
      <c r="B14" s="82" t="s">
        <v>35</v>
      </c>
      <c r="C14" s="87">
        <v>9.11</v>
      </c>
    </row>
    <row r="15" spans="1:3" x14ac:dyDescent="0.25">
      <c r="A15" s="81"/>
      <c r="B15" s="88" t="s">
        <v>36</v>
      </c>
      <c r="C15" s="70">
        <v>0.86</v>
      </c>
    </row>
    <row r="16" spans="1:3" ht="30" x14ac:dyDescent="0.25">
      <c r="A16" s="81"/>
      <c r="B16" s="82" t="s">
        <v>37</v>
      </c>
      <c r="C16" s="70">
        <v>1.2</v>
      </c>
    </row>
    <row r="17" spans="1:3" x14ac:dyDescent="0.25">
      <c r="A17" s="89"/>
      <c r="B17" s="82" t="s">
        <v>95</v>
      </c>
      <c r="C17" s="70">
        <v>2</v>
      </c>
    </row>
    <row r="18" spans="1:3" x14ac:dyDescent="0.25">
      <c r="A18" s="90"/>
      <c r="B18" s="88" t="s">
        <v>38</v>
      </c>
      <c r="C18" s="70">
        <v>2.2999999999999998</v>
      </c>
    </row>
    <row r="19" spans="1:3" x14ac:dyDescent="0.25">
      <c r="A19" s="90"/>
      <c r="B19" s="88" t="s">
        <v>101</v>
      </c>
      <c r="C19" s="70">
        <v>3.4</v>
      </c>
    </row>
    <row r="20" spans="1:3" x14ac:dyDescent="0.25">
      <c r="A20" s="90"/>
      <c r="B20" s="88" t="s">
        <v>102</v>
      </c>
      <c r="C20" s="70">
        <v>2.4</v>
      </c>
    </row>
    <row r="21" spans="1:3" ht="18.75" x14ac:dyDescent="0.25">
      <c r="A21" s="92"/>
      <c r="B21" s="93" t="s">
        <v>39</v>
      </c>
      <c r="C21" s="94">
        <f t="shared" ref="C21" si="2">C7/C22*100</f>
        <v>100.07484032365073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1322.8162996999999</v>
      </c>
    </row>
    <row r="23" spans="1:3" ht="31.5" x14ac:dyDescent="0.3">
      <c r="A23" s="72">
        <v>2</v>
      </c>
      <c r="B23" s="76" t="s">
        <v>29</v>
      </c>
      <c r="C23" s="78">
        <f>25.73*3.69*12</f>
        <v>1139.3244</v>
      </c>
    </row>
    <row r="24" spans="1:3" ht="31.5" x14ac:dyDescent="0.3">
      <c r="A24" s="72">
        <v>3</v>
      </c>
      <c r="B24" s="79" t="s">
        <v>30</v>
      </c>
      <c r="C24" s="80">
        <v>80.78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102.7118997</v>
      </c>
    </row>
    <row r="26" spans="1:3" ht="30" x14ac:dyDescent="0.25">
      <c r="A26" s="81"/>
      <c r="B26" s="82" t="s">
        <v>32</v>
      </c>
      <c r="C26" s="70">
        <f>0.19417*25.73*17</f>
        <v>84.931899700000002</v>
      </c>
    </row>
    <row r="27" spans="1:3" x14ac:dyDescent="0.25">
      <c r="A27" s="81"/>
      <c r="B27" s="82" t="s">
        <v>33</v>
      </c>
      <c r="C27" s="70">
        <v>5.51</v>
      </c>
    </row>
    <row r="28" spans="1:3" ht="45" x14ac:dyDescent="0.25">
      <c r="A28" s="81"/>
      <c r="B28" s="82" t="s">
        <v>34</v>
      </c>
      <c r="C28" s="70"/>
    </row>
    <row r="29" spans="1:3" ht="30" x14ac:dyDescent="0.25">
      <c r="A29" s="81"/>
      <c r="B29" s="82" t="s">
        <v>35</v>
      </c>
      <c r="C29" s="87">
        <v>8.06</v>
      </c>
    </row>
    <row r="30" spans="1:3" x14ac:dyDescent="0.25">
      <c r="A30" s="81"/>
      <c r="B30" s="88" t="s">
        <v>36</v>
      </c>
      <c r="C30" s="70">
        <v>0.71</v>
      </c>
    </row>
    <row r="31" spans="1:3" ht="30" x14ac:dyDescent="0.25">
      <c r="A31" s="81"/>
      <c r="B31" s="82" t="s">
        <v>37</v>
      </c>
      <c r="C31" s="70">
        <v>1.2</v>
      </c>
    </row>
    <row r="32" spans="1:3" x14ac:dyDescent="0.25">
      <c r="A32" s="90"/>
      <c r="B32" s="88" t="s">
        <v>38</v>
      </c>
      <c r="C32" s="70">
        <v>2.2999999999999998</v>
      </c>
    </row>
    <row r="33" spans="1:3" x14ac:dyDescent="0.25">
      <c r="A33" s="90"/>
      <c r="B33" s="82" t="s">
        <v>95</v>
      </c>
      <c r="C33" s="70">
        <v>0.75</v>
      </c>
    </row>
    <row r="34" spans="1:3" x14ac:dyDescent="0.25">
      <c r="A34" s="98"/>
      <c r="B34" s="99" t="s">
        <v>41</v>
      </c>
      <c r="C34" s="80">
        <f t="shared" ref="C34" si="5">C35+C62+C81+C83+C84</f>
        <v>1328.85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983.04999999999984</v>
      </c>
    </row>
    <row r="36" spans="1:3" x14ac:dyDescent="0.25">
      <c r="A36" s="100">
        <v>2</v>
      </c>
      <c r="B36" s="76" t="s">
        <v>43</v>
      </c>
      <c r="C36" s="51">
        <v>208.35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308.81</v>
      </c>
    </row>
    <row r="39" spans="1:3" x14ac:dyDescent="0.25">
      <c r="A39" s="100">
        <v>5</v>
      </c>
      <c r="B39" s="102" t="s">
        <v>46</v>
      </c>
      <c r="C39" s="51">
        <v>74.290000000000006</v>
      </c>
    </row>
    <row r="40" spans="1:3" ht="47.25" x14ac:dyDescent="0.25">
      <c r="A40" s="100">
        <v>6</v>
      </c>
      <c r="B40" s="102" t="s">
        <v>47</v>
      </c>
      <c r="C40" s="51">
        <v>12.75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354.93</v>
      </c>
    </row>
    <row r="42" spans="1:3" x14ac:dyDescent="0.25">
      <c r="A42" s="100"/>
      <c r="B42" s="88" t="s">
        <v>49</v>
      </c>
      <c r="C42" s="51">
        <f>48.33-3</f>
        <v>45.33</v>
      </c>
    </row>
    <row r="43" spans="1:3" x14ac:dyDescent="0.25">
      <c r="A43" s="100"/>
      <c r="B43" s="88" t="s">
        <v>91</v>
      </c>
      <c r="C43" s="51">
        <v>293.48</v>
      </c>
    </row>
    <row r="44" spans="1:3" ht="30" x14ac:dyDescent="0.25">
      <c r="A44" s="81"/>
      <c r="B44" s="88" t="s">
        <v>78</v>
      </c>
      <c r="C44" s="51">
        <v>16.12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17.510000000000002</v>
      </c>
    </row>
    <row r="49" spans="1:3" x14ac:dyDescent="0.25">
      <c r="A49" s="100"/>
      <c r="B49" s="106" t="s">
        <v>52</v>
      </c>
      <c r="C49" s="51">
        <v>4.96</v>
      </c>
    </row>
    <row r="50" spans="1:3" x14ac:dyDescent="0.25">
      <c r="A50" s="100"/>
      <c r="B50" s="106" t="s">
        <v>53</v>
      </c>
      <c r="C50" s="51">
        <v>1.46</v>
      </c>
    </row>
    <row r="51" spans="1:3" x14ac:dyDescent="0.25">
      <c r="A51" s="100"/>
      <c r="B51" s="106" t="s">
        <v>54</v>
      </c>
      <c r="C51" s="51">
        <v>2.59</v>
      </c>
    </row>
    <row r="52" spans="1:3" x14ac:dyDescent="0.25">
      <c r="A52" s="100"/>
      <c r="B52" s="106" t="s">
        <v>55</v>
      </c>
      <c r="C52" s="51">
        <v>3.51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1.1399999999999999</v>
      </c>
    </row>
    <row r="55" spans="1:3" x14ac:dyDescent="0.25">
      <c r="A55" s="100"/>
      <c r="B55" s="88" t="s">
        <v>96</v>
      </c>
      <c r="C55" s="51">
        <v>3.33</v>
      </c>
    </row>
    <row r="56" spans="1:3" x14ac:dyDescent="0.25">
      <c r="A56" s="100"/>
      <c r="B56" s="88" t="s">
        <v>97</v>
      </c>
      <c r="C56" s="51">
        <v>0.52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2.2599999999999998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6.41</v>
      </c>
    </row>
    <row r="60" spans="1:3" x14ac:dyDescent="0.25">
      <c r="A60" s="100"/>
      <c r="B60" s="82" t="s">
        <v>58</v>
      </c>
      <c r="C60" s="51">
        <v>4.51</v>
      </c>
    </row>
    <row r="61" spans="1:3" x14ac:dyDescent="0.25">
      <c r="A61" s="100"/>
      <c r="B61" s="82" t="s">
        <v>59</v>
      </c>
      <c r="C61" s="51">
        <v>1.9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223.81000000000006</v>
      </c>
    </row>
    <row r="63" spans="1:3" x14ac:dyDescent="0.25">
      <c r="A63" s="100">
        <v>11</v>
      </c>
      <c r="B63" s="76" t="s">
        <v>61</v>
      </c>
      <c r="C63" s="51">
        <v>48.96</v>
      </c>
    </row>
    <row r="64" spans="1:3" x14ac:dyDescent="0.25">
      <c r="A64" s="100">
        <v>12</v>
      </c>
      <c r="B64" s="108" t="s">
        <v>62</v>
      </c>
      <c r="C64" s="51">
        <v>129.58000000000001</v>
      </c>
    </row>
    <row r="65" spans="1:3" x14ac:dyDescent="0.25">
      <c r="A65" s="100">
        <v>13</v>
      </c>
      <c r="B65" s="108" t="s">
        <v>46</v>
      </c>
      <c r="C65" s="51">
        <v>30.52</v>
      </c>
    </row>
    <row r="66" spans="1:3" x14ac:dyDescent="0.25">
      <c r="A66" s="100">
        <v>14</v>
      </c>
      <c r="B66" s="103" t="s">
        <v>63</v>
      </c>
      <c r="C66" s="80">
        <f t="shared" ref="C66" si="11">C68</f>
        <v>2.11</v>
      </c>
    </row>
    <row r="67" spans="1:3" x14ac:dyDescent="0.25">
      <c r="A67" s="109"/>
      <c r="B67" s="106" t="s">
        <v>99</v>
      </c>
      <c r="C67" s="51">
        <v>4.1500000000000004</v>
      </c>
    </row>
    <row r="68" spans="1:3" x14ac:dyDescent="0.25">
      <c r="A68" s="100"/>
      <c r="B68" s="108" t="s">
        <v>64</v>
      </c>
      <c r="C68" s="51">
        <v>2.11</v>
      </c>
    </row>
    <row r="69" spans="1:3" ht="31.5" x14ac:dyDescent="0.25">
      <c r="A69" s="100">
        <v>15</v>
      </c>
      <c r="B69" s="79" t="s">
        <v>65</v>
      </c>
      <c r="C69" s="80">
        <f t="shared" ref="C69" si="12">C70+C71+C72+C73+C74+C75+C76+C77+C78+C79+C80+C82</f>
        <v>12.64</v>
      </c>
    </row>
    <row r="70" spans="1:3" x14ac:dyDescent="0.25">
      <c r="A70" s="100"/>
      <c r="B70" s="82" t="s">
        <v>66</v>
      </c>
      <c r="C70" s="51">
        <v>0.45</v>
      </c>
    </row>
    <row r="71" spans="1:3" x14ac:dyDescent="0.25">
      <c r="A71" s="100"/>
      <c r="B71" s="82" t="s">
        <v>67</v>
      </c>
      <c r="C71" s="51">
        <v>3.41</v>
      </c>
    </row>
    <row r="72" spans="1:3" ht="30" x14ac:dyDescent="0.25">
      <c r="A72" s="100"/>
      <c r="B72" s="82" t="s">
        <v>68</v>
      </c>
      <c r="C72" s="51">
        <v>1.69</v>
      </c>
    </row>
    <row r="73" spans="1:3" ht="30" x14ac:dyDescent="0.25">
      <c r="A73" s="112"/>
      <c r="B73" s="82" t="s">
        <v>69</v>
      </c>
      <c r="C73" s="51">
        <v>1.4</v>
      </c>
    </row>
    <row r="74" spans="1:3" x14ac:dyDescent="0.25">
      <c r="A74" s="112"/>
      <c r="B74" s="82" t="s">
        <v>70</v>
      </c>
      <c r="C74" s="87">
        <v>0.18</v>
      </c>
    </row>
    <row r="75" spans="1:3" x14ac:dyDescent="0.25">
      <c r="A75" s="112"/>
      <c r="B75" s="82" t="s">
        <v>71</v>
      </c>
      <c r="C75" s="87">
        <v>0.47</v>
      </c>
    </row>
    <row r="76" spans="1:3" x14ac:dyDescent="0.25">
      <c r="A76" s="112"/>
      <c r="B76" s="82" t="s">
        <v>72</v>
      </c>
      <c r="C76" s="87">
        <v>0.24</v>
      </c>
    </row>
    <row r="77" spans="1:3" ht="30" x14ac:dyDescent="0.25">
      <c r="A77" s="100"/>
      <c r="B77" s="82" t="s">
        <v>98</v>
      </c>
      <c r="C77" s="51">
        <v>2.34</v>
      </c>
    </row>
    <row r="78" spans="1:3" x14ac:dyDescent="0.25">
      <c r="A78" s="100"/>
      <c r="B78" s="82" t="s">
        <v>73</v>
      </c>
      <c r="C78" s="51">
        <v>0.09</v>
      </c>
    </row>
    <row r="79" spans="1:3" x14ac:dyDescent="0.25">
      <c r="A79" s="100"/>
      <c r="B79" s="82" t="s">
        <v>100</v>
      </c>
      <c r="C79" s="51">
        <v>0.01</v>
      </c>
    </row>
    <row r="80" spans="1:3" x14ac:dyDescent="0.25">
      <c r="A80" s="113"/>
      <c r="B80" s="82" t="s">
        <v>74</v>
      </c>
      <c r="C80" s="51">
        <v>2.14</v>
      </c>
    </row>
    <row r="81" spans="1:3" x14ac:dyDescent="0.25">
      <c r="A81" s="114"/>
      <c r="B81" s="82" t="s">
        <v>75</v>
      </c>
      <c r="C81" s="51">
        <v>33.14</v>
      </c>
    </row>
    <row r="82" spans="1:3" ht="30" x14ac:dyDescent="0.25">
      <c r="A82" s="114"/>
      <c r="B82" s="108" t="s">
        <v>76</v>
      </c>
      <c r="C82" s="51">
        <v>0.22</v>
      </c>
    </row>
    <row r="83" spans="1:3" x14ac:dyDescent="0.25">
      <c r="A83" s="115">
        <v>18</v>
      </c>
      <c r="B83" s="102" t="s">
        <v>77</v>
      </c>
      <c r="C83" s="51">
        <v>17</v>
      </c>
    </row>
    <row r="84" spans="1:3" ht="31.5" x14ac:dyDescent="0.25">
      <c r="A84" s="116">
        <v>19</v>
      </c>
      <c r="B84" s="79" t="s">
        <v>30</v>
      </c>
      <c r="C84" s="117">
        <v>71.849999999999994</v>
      </c>
    </row>
    <row r="85" spans="1:3" ht="29.25" x14ac:dyDescent="0.25">
      <c r="A85" s="118"/>
      <c r="B85" s="119" t="s">
        <v>105</v>
      </c>
      <c r="C85" s="120">
        <f t="shared" ref="C85" si="13">C22-C34</f>
        <v>-6.033700299999964</v>
      </c>
    </row>
    <row r="86" spans="1:3" ht="31.5" x14ac:dyDescent="0.25">
      <c r="A86" s="60"/>
      <c r="B86" s="61" t="s">
        <v>92</v>
      </c>
      <c r="C86" s="80">
        <v>186.77</v>
      </c>
    </row>
    <row r="87" spans="1:3" x14ac:dyDescent="0.25">
      <c r="C87" s="86"/>
    </row>
  </sheetData>
  <pageMargins left="0.7" right="1.49" top="0.33" bottom="0.27" header="0.3" footer="0.3"/>
  <pageSetup paperSize="9" scale="44" orientation="portrait" verticalDpi="0" r:id="rId1"/>
  <rowBreaks count="1" manualBreakCount="1">
    <brk id="7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61" zoomScale="60" zoomScaleNormal="100" workbookViewId="0">
      <selection activeCell="C7" sqref="C7"/>
    </sheetView>
  </sheetViews>
  <sheetFormatPr defaultRowHeight="15.75" x14ac:dyDescent="0.25"/>
  <cols>
    <col min="1" max="1" width="6.85546875" style="52" customWidth="1"/>
    <col min="2" max="2" width="80" style="55" customWidth="1"/>
    <col min="3" max="3" width="43.28515625" style="55" customWidth="1"/>
  </cols>
  <sheetData>
    <row r="1" spans="1:3" x14ac:dyDescent="0.25">
      <c r="B1" s="53" t="s">
        <v>87</v>
      </c>
      <c r="C1" s="55" t="s">
        <v>86</v>
      </c>
    </row>
    <row r="2" spans="1:3" x14ac:dyDescent="0.25">
      <c r="B2" s="121"/>
    </row>
    <row r="3" spans="1:3" x14ac:dyDescent="0.25">
      <c r="A3" s="60"/>
      <c r="B3" s="61"/>
      <c r="C3" s="62" t="s">
        <v>0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11.24</v>
      </c>
    </row>
    <row r="6" spans="1:3" x14ac:dyDescent="0.25">
      <c r="A6" s="67"/>
      <c r="B6" s="68" t="s">
        <v>89</v>
      </c>
      <c r="C6" s="70">
        <v>506.85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3934.0282094999998</v>
      </c>
    </row>
    <row r="8" spans="1:3" ht="20.25" x14ac:dyDescent="0.3">
      <c r="A8" s="72">
        <v>2</v>
      </c>
      <c r="B8" s="76" t="s">
        <v>29</v>
      </c>
      <c r="C8" s="78">
        <f>25.73*11.24*12+53.93</f>
        <v>3524.3923999999997</v>
      </c>
    </row>
    <row r="9" spans="1:3" ht="20.25" x14ac:dyDescent="0.3">
      <c r="A9" s="72">
        <v>3</v>
      </c>
      <c r="B9" s="79" t="s">
        <v>30</v>
      </c>
      <c r="C9" s="80">
        <v>245.41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164.2258095</v>
      </c>
    </row>
    <row r="11" spans="1:3" x14ac:dyDescent="0.25">
      <c r="A11" s="81"/>
      <c r="B11" s="82" t="s">
        <v>32</v>
      </c>
      <c r="C11" s="70">
        <f>0.28101*25.73*15+0.89</f>
        <v>109.34580949999999</v>
      </c>
    </row>
    <row r="12" spans="1:3" x14ac:dyDescent="0.25">
      <c r="A12" s="81"/>
      <c r="B12" s="82" t="s">
        <v>33</v>
      </c>
      <c r="C12" s="70">
        <f>16.77-1.7</f>
        <v>15.07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27.76</v>
      </c>
    </row>
    <row r="15" spans="1:3" x14ac:dyDescent="0.25">
      <c r="A15" s="81"/>
      <c r="B15" s="88" t="s">
        <v>36</v>
      </c>
      <c r="C15" s="70">
        <v>2</v>
      </c>
    </row>
    <row r="16" spans="1:3" x14ac:dyDescent="0.25">
      <c r="A16" s="81"/>
      <c r="B16" s="82" t="s">
        <v>37</v>
      </c>
      <c r="C16" s="70">
        <f>3.6+0.45</f>
        <v>4.05</v>
      </c>
    </row>
    <row r="17" spans="1:3" x14ac:dyDescent="0.25">
      <c r="A17" s="89"/>
      <c r="B17" s="82" t="s">
        <v>95</v>
      </c>
      <c r="C17" s="70">
        <v>6.1</v>
      </c>
    </row>
    <row r="18" spans="1:3" x14ac:dyDescent="0.25">
      <c r="A18" s="90"/>
      <c r="B18" s="88" t="s">
        <v>38</v>
      </c>
      <c r="C18" s="70">
        <v>6</v>
      </c>
    </row>
    <row r="19" spans="1:3" x14ac:dyDescent="0.25">
      <c r="A19" s="90"/>
      <c r="B19" s="88" t="s">
        <v>101</v>
      </c>
      <c r="C19" s="70">
        <v>10.35</v>
      </c>
    </row>
    <row r="20" spans="1:3" x14ac:dyDescent="0.25">
      <c r="A20" s="90"/>
      <c r="B20" s="88" t="s">
        <v>102</v>
      </c>
      <c r="C20" s="70">
        <v>9.35</v>
      </c>
    </row>
    <row r="21" spans="1:3" ht="18.75" x14ac:dyDescent="0.25">
      <c r="A21" s="92"/>
      <c r="B21" s="93" t="s">
        <v>39</v>
      </c>
      <c r="C21" s="94">
        <f t="shared" ref="C21" si="2">C7/C22*100</f>
        <v>103.609428073579</v>
      </c>
    </row>
    <row r="22" spans="1:3" ht="24.75" customHeight="1" x14ac:dyDescent="0.3">
      <c r="A22" s="72">
        <v>1</v>
      </c>
      <c r="B22" s="73" t="s">
        <v>40</v>
      </c>
      <c r="C22" s="69">
        <f t="shared" ref="C22" si="3">C23+C24+C25</f>
        <v>3796.9789840999997</v>
      </c>
    </row>
    <row r="23" spans="1:3" ht="20.25" x14ac:dyDescent="0.3">
      <c r="A23" s="72">
        <v>2</v>
      </c>
      <c r="B23" s="76" t="s">
        <v>29</v>
      </c>
      <c r="C23" s="78">
        <f>25.73*11.24*12-99.08</f>
        <v>3371.3824</v>
      </c>
    </row>
    <row r="24" spans="1:3" ht="20.25" x14ac:dyDescent="0.3">
      <c r="A24" s="72">
        <v>3</v>
      </c>
      <c r="B24" s="79" t="s">
        <v>30</v>
      </c>
      <c r="C24" s="80">
        <v>246.06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179.5365841</v>
      </c>
    </row>
    <row r="26" spans="1:3" x14ac:dyDescent="0.25">
      <c r="A26" s="81"/>
      <c r="B26" s="82" t="s">
        <v>32</v>
      </c>
      <c r="C26" s="70">
        <f>0.28101*25.73*17</f>
        <v>122.91658409999999</v>
      </c>
    </row>
    <row r="27" spans="1:3" x14ac:dyDescent="0.25">
      <c r="A27" s="81"/>
      <c r="B27" s="82" t="s">
        <v>33</v>
      </c>
      <c r="C27" s="70">
        <f>16.77-1.5</f>
        <v>15.27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29.55</v>
      </c>
    </row>
    <row r="30" spans="1:3" x14ac:dyDescent="0.25">
      <c r="A30" s="81"/>
      <c r="B30" s="88" t="s">
        <v>36</v>
      </c>
      <c r="C30" s="70">
        <v>2.2000000000000002</v>
      </c>
    </row>
    <row r="31" spans="1:3" x14ac:dyDescent="0.25">
      <c r="A31" s="81"/>
      <c r="B31" s="82" t="s">
        <v>37</v>
      </c>
      <c r="C31" s="70">
        <f>3.6</f>
        <v>3.6</v>
      </c>
    </row>
    <row r="32" spans="1:3" x14ac:dyDescent="0.25">
      <c r="A32" s="90"/>
      <c r="B32" s="88" t="s">
        <v>38</v>
      </c>
      <c r="C32" s="70">
        <v>6</v>
      </c>
    </row>
    <row r="33" spans="1:3" x14ac:dyDescent="0.25">
      <c r="A33" s="90"/>
      <c r="B33" s="82" t="s">
        <v>95</v>
      </c>
      <c r="C33" s="70">
        <v>2.27</v>
      </c>
    </row>
    <row r="34" spans="1:3" x14ac:dyDescent="0.25">
      <c r="A34" s="98"/>
      <c r="B34" s="99" t="s">
        <v>41</v>
      </c>
      <c r="C34" s="80">
        <f t="shared" ref="C34" si="5">C35+C62+C81+C83+C84</f>
        <v>3875.6429999999991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2823.1429999999996</v>
      </c>
    </row>
    <row r="36" spans="1:3" x14ac:dyDescent="0.25">
      <c r="A36" s="100">
        <v>2</v>
      </c>
      <c r="B36" s="76" t="s">
        <v>43</v>
      </c>
      <c r="C36" s="51">
        <v>634.66</v>
      </c>
    </row>
    <row r="37" spans="1:3" x14ac:dyDescent="0.25">
      <c r="A37" s="100">
        <v>3</v>
      </c>
      <c r="B37" s="79" t="s">
        <v>44</v>
      </c>
      <c r="C37" s="68"/>
    </row>
    <row r="38" spans="1:3" ht="25.5" customHeight="1" x14ac:dyDescent="0.25">
      <c r="A38" s="100">
        <v>4</v>
      </c>
      <c r="B38" s="102" t="s">
        <v>45</v>
      </c>
      <c r="C38" s="51">
        <v>940.67</v>
      </c>
    </row>
    <row r="39" spans="1:3" x14ac:dyDescent="0.25">
      <c r="A39" s="100">
        <v>5</v>
      </c>
      <c r="B39" s="102" t="s">
        <v>46</v>
      </c>
      <c r="C39" s="51">
        <v>216.28</v>
      </c>
    </row>
    <row r="40" spans="1:3" ht="31.5" x14ac:dyDescent="0.25">
      <c r="A40" s="100">
        <v>6</v>
      </c>
      <c r="B40" s="102" t="s">
        <v>47</v>
      </c>
      <c r="C40" s="51">
        <v>38.840000000000003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893.78300000000002</v>
      </c>
    </row>
    <row r="42" spans="1:3" x14ac:dyDescent="0.25">
      <c r="A42" s="100"/>
      <c r="B42" s="88" t="s">
        <v>49</v>
      </c>
      <c r="C42" s="104">
        <f>41.83+31.54+13.303-50</f>
        <v>36.673000000000002</v>
      </c>
    </row>
    <row r="43" spans="1:3" x14ac:dyDescent="0.25">
      <c r="A43" s="100"/>
      <c r="B43" s="88" t="s">
        <v>91</v>
      </c>
      <c r="C43" s="51">
        <f>328.15+279.86+200</f>
        <v>808.01</v>
      </c>
    </row>
    <row r="44" spans="1:3" x14ac:dyDescent="0.25">
      <c r="A44" s="81"/>
      <c r="B44" s="88" t="s">
        <v>78</v>
      </c>
      <c r="C44" s="51">
        <v>49.1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79.349999999999994</v>
      </c>
    </row>
    <row r="49" spans="1:3" x14ac:dyDescent="0.25">
      <c r="A49" s="100"/>
      <c r="B49" s="106" t="s">
        <v>52</v>
      </c>
      <c r="C49" s="51">
        <v>15.1</v>
      </c>
    </row>
    <row r="50" spans="1:3" x14ac:dyDescent="0.25">
      <c r="A50" s="100"/>
      <c r="B50" s="106" t="s">
        <v>53</v>
      </c>
      <c r="C50" s="51">
        <v>4.53</v>
      </c>
    </row>
    <row r="51" spans="1:3" x14ac:dyDescent="0.25">
      <c r="A51" s="100"/>
      <c r="B51" s="106" t="s">
        <v>54</v>
      </c>
      <c r="C51" s="51">
        <v>5.86</v>
      </c>
    </row>
    <row r="52" spans="1:3" x14ac:dyDescent="0.25">
      <c r="A52" s="100"/>
      <c r="B52" s="106" t="s">
        <v>55</v>
      </c>
      <c r="C52" s="51">
        <v>10.71</v>
      </c>
    </row>
    <row r="53" spans="1:3" x14ac:dyDescent="0.25">
      <c r="A53" s="100"/>
      <c r="B53" s="106" t="s">
        <v>93</v>
      </c>
      <c r="C53" s="51">
        <v>28</v>
      </c>
    </row>
    <row r="54" spans="1:3" x14ac:dyDescent="0.25">
      <c r="A54" s="100"/>
      <c r="B54" s="88" t="s">
        <v>56</v>
      </c>
      <c r="C54" s="51">
        <v>3.46</v>
      </c>
    </row>
    <row r="55" spans="1:3" x14ac:dyDescent="0.25">
      <c r="A55" s="100"/>
      <c r="B55" s="88" t="s">
        <v>96</v>
      </c>
      <c r="C55" s="51">
        <v>10.11</v>
      </c>
    </row>
    <row r="56" spans="1:3" x14ac:dyDescent="0.25">
      <c r="A56" s="100"/>
      <c r="B56" s="88" t="s">
        <v>97</v>
      </c>
      <c r="C56" s="51">
        <v>1.58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6.89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19.560000000000002</v>
      </c>
    </row>
    <row r="60" spans="1:3" x14ac:dyDescent="0.25">
      <c r="A60" s="100"/>
      <c r="B60" s="82" t="s">
        <v>58</v>
      </c>
      <c r="C60" s="51">
        <v>13.72</v>
      </c>
    </row>
    <row r="61" spans="1:3" x14ac:dyDescent="0.25">
      <c r="A61" s="100"/>
      <c r="B61" s="82" t="s">
        <v>59</v>
      </c>
      <c r="C61" s="51">
        <v>5.84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680.98000000000013</v>
      </c>
    </row>
    <row r="63" spans="1:3" x14ac:dyDescent="0.25">
      <c r="A63" s="100">
        <v>11</v>
      </c>
      <c r="B63" s="76" t="s">
        <v>61</v>
      </c>
      <c r="C63" s="51">
        <v>149.15</v>
      </c>
    </row>
    <row r="64" spans="1:3" x14ac:dyDescent="0.25">
      <c r="A64" s="100">
        <v>12</v>
      </c>
      <c r="B64" s="108" t="s">
        <v>62</v>
      </c>
      <c r="C64" s="51">
        <v>394.72</v>
      </c>
    </row>
    <row r="65" spans="1:3" x14ac:dyDescent="0.25">
      <c r="A65" s="100">
        <v>13</v>
      </c>
      <c r="B65" s="108" t="s">
        <v>46</v>
      </c>
      <c r="C65" s="51">
        <v>92.97</v>
      </c>
    </row>
    <row r="66" spans="1:3" x14ac:dyDescent="0.25">
      <c r="A66" s="100">
        <v>14</v>
      </c>
      <c r="B66" s="103" t="s">
        <v>63</v>
      </c>
      <c r="C66" s="80">
        <f t="shared" ref="C66" si="11">C68</f>
        <v>6.44</v>
      </c>
    </row>
    <row r="67" spans="1:3" x14ac:dyDescent="0.25">
      <c r="A67" s="109"/>
      <c r="B67" s="106" t="s">
        <v>99</v>
      </c>
      <c r="C67" s="51">
        <v>12.66</v>
      </c>
    </row>
    <row r="68" spans="1:3" x14ac:dyDescent="0.25">
      <c r="A68" s="100"/>
      <c r="B68" s="108" t="s">
        <v>64</v>
      </c>
      <c r="C68" s="51">
        <v>6.44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37.699999999999996</v>
      </c>
    </row>
    <row r="70" spans="1:3" x14ac:dyDescent="0.25">
      <c r="A70" s="100"/>
      <c r="B70" s="82" t="s">
        <v>66</v>
      </c>
      <c r="C70" s="51">
        <v>0.54</v>
      </c>
    </row>
    <row r="71" spans="1:3" x14ac:dyDescent="0.25">
      <c r="A71" s="100"/>
      <c r="B71" s="82" t="s">
        <v>67</v>
      </c>
      <c r="C71" s="51">
        <v>10.38</v>
      </c>
    </row>
    <row r="72" spans="1:3" x14ac:dyDescent="0.25">
      <c r="A72" s="100"/>
      <c r="B72" s="82" t="s">
        <v>68</v>
      </c>
      <c r="C72" s="51">
        <v>5.15</v>
      </c>
    </row>
    <row r="73" spans="1:3" x14ac:dyDescent="0.25">
      <c r="A73" s="112"/>
      <c r="B73" s="82" t="s">
        <v>69</v>
      </c>
      <c r="C73" s="51">
        <v>4.28</v>
      </c>
    </row>
    <row r="74" spans="1:3" x14ac:dyDescent="0.25">
      <c r="A74" s="112"/>
      <c r="B74" s="82" t="s">
        <v>70</v>
      </c>
      <c r="C74" s="87">
        <v>0.54</v>
      </c>
    </row>
    <row r="75" spans="1:3" x14ac:dyDescent="0.25">
      <c r="A75" s="112"/>
      <c r="B75" s="82" t="s">
        <v>71</v>
      </c>
      <c r="C75" s="87">
        <v>1.44</v>
      </c>
    </row>
    <row r="76" spans="1:3" x14ac:dyDescent="0.25">
      <c r="A76" s="112"/>
      <c r="B76" s="82" t="s">
        <v>72</v>
      </c>
      <c r="C76" s="87">
        <v>0.74</v>
      </c>
    </row>
    <row r="77" spans="1:3" x14ac:dyDescent="0.25">
      <c r="A77" s="100"/>
      <c r="B77" s="82" t="s">
        <v>98</v>
      </c>
      <c r="C77" s="51">
        <v>7.14</v>
      </c>
    </row>
    <row r="78" spans="1:3" x14ac:dyDescent="0.25">
      <c r="A78" s="100"/>
      <c r="B78" s="82" t="s">
        <v>73</v>
      </c>
      <c r="C78" s="51">
        <v>0.28000000000000003</v>
      </c>
    </row>
    <row r="79" spans="1:3" x14ac:dyDescent="0.25">
      <c r="A79" s="100"/>
      <c r="B79" s="82" t="s">
        <v>100</v>
      </c>
      <c r="C79" s="51">
        <v>0.04</v>
      </c>
    </row>
    <row r="80" spans="1:3" x14ac:dyDescent="0.25">
      <c r="A80" s="113"/>
      <c r="B80" s="82" t="s">
        <v>74</v>
      </c>
      <c r="C80" s="51">
        <v>6.51</v>
      </c>
    </row>
    <row r="81" spans="1:3" x14ac:dyDescent="0.25">
      <c r="A81" s="114"/>
      <c r="B81" s="82" t="s">
        <v>75</v>
      </c>
      <c r="C81" s="51">
        <v>100.95</v>
      </c>
    </row>
    <row r="82" spans="1:3" x14ac:dyDescent="0.25">
      <c r="A82" s="114"/>
      <c r="B82" s="108" t="s">
        <v>76</v>
      </c>
      <c r="C82" s="51">
        <v>0.66</v>
      </c>
    </row>
    <row r="83" spans="1:3" x14ac:dyDescent="0.25">
      <c r="A83" s="115">
        <v>18</v>
      </c>
      <c r="B83" s="102" t="s">
        <v>77</v>
      </c>
      <c r="C83" s="51">
        <v>51.7</v>
      </c>
    </row>
    <row r="84" spans="1:3" ht="18" x14ac:dyDescent="0.25">
      <c r="A84" s="116">
        <v>19</v>
      </c>
      <c r="B84" s="79" t="s">
        <v>30</v>
      </c>
      <c r="C84" s="117">
        <v>218.87</v>
      </c>
    </row>
    <row r="85" spans="1:3" ht="18" x14ac:dyDescent="0.25">
      <c r="A85" s="118"/>
      <c r="B85" s="119" t="s">
        <v>105</v>
      </c>
      <c r="C85" s="120">
        <f t="shared" ref="C85" si="13">C22-C34</f>
        <v>-78.664015899999413</v>
      </c>
    </row>
    <row r="86" spans="1:3" ht="31.5" x14ac:dyDescent="0.25">
      <c r="A86" s="60"/>
      <c r="B86" s="61" t="s">
        <v>92</v>
      </c>
      <c r="C86" s="80">
        <v>523.33000000000004</v>
      </c>
    </row>
    <row r="87" spans="1:3" x14ac:dyDescent="0.25">
      <c r="C87" s="86"/>
    </row>
  </sheetData>
  <pageMargins left="0.7" right="0.7" top="0.33" bottom="0.75" header="0.3" footer="0.3"/>
  <pageSetup paperSize="9" scale="49" orientation="portrait" verticalDpi="300" r:id="rId1"/>
  <rowBreaks count="1" manualBreakCount="1">
    <brk id="7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topLeftCell="A34" zoomScale="60" zoomScaleNormal="100" workbookViewId="0">
      <selection activeCell="I29" sqref="I29"/>
    </sheetView>
  </sheetViews>
  <sheetFormatPr defaultRowHeight="15.75" x14ac:dyDescent="0.25"/>
  <cols>
    <col min="1" max="1" width="6.85546875" style="52" customWidth="1"/>
    <col min="2" max="2" width="80.42578125" style="55" customWidth="1"/>
    <col min="3" max="3" width="26.42578125" style="55" customWidth="1"/>
  </cols>
  <sheetData>
    <row r="1" spans="1:3" x14ac:dyDescent="0.25">
      <c r="B1" s="53" t="s">
        <v>87</v>
      </c>
    </row>
    <row r="2" spans="1:3" x14ac:dyDescent="0.25">
      <c r="B2" s="121"/>
    </row>
    <row r="3" spans="1:3" x14ac:dyDescent="0.25">
      <c r="A3" s="60"/>
      <c r="B3" s="61"/>
      <c r="C3" s="61" t="s">
        <v>84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11.41</v>
      </c>
    </row>
    <row r="6" spans="1:3" ht="31.5" x14ac:dyDescent="0.25">
      <c r="A6" s="67"/>
      <c r="B6" s="68" t="s">
        <v>89</v>
      </c>
      <c r="C6" s="70">
        <v>457.74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3884.2561224999999</v>
      </c>
    </row>
    <row r="8" spans="1:3" ht="20.25" x14ac:dyDescent="0.3">
      <c r="A8" s="72">
        <v>2</v>
      </c>
      <c r="B8" s="76" t="s">
        <v>29</v>
      </c>
      <c r="C8" s="78">
        <f>25.73*11.41*12</f>
        <v>3522.9515999999999</v>
      </c>
    </row>
    <row r="9" spans="1:3" ht="20.25" x14ac:dyDescent="0.3">
      <c r="A9" s="72">
        <v>3</v>
      </c>
      <c r="B9" s="79" t="s">
        <v>30</v>
      </c>
      <c r="C9" s="80">
        <v>249.12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112.18452250000001</v>
      </c>
    </row>
    <row r="11" spans="1:3" x14ac:dyDescent="0.25">
      <c r="A11" s="81"/>
      <c r="B11" s="82" t="s">
        <v>32</v>
      </c>
      <c r="C11" s="70">
        <f>0.13725*25.73*17</f>
        <v>60.034522500000001</v>
      </c>
    </row>
    <row r="12" spans="1:3" x14ac:dyDescent="0.25">
      <c r="A12" s="81"/>
      <c r="B12" s="82" t="s">
        <v>33</v>
      </c>
      <c r="C12" s="70">
        <v>17.03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28.18</v>
      </c>
    </row>
    <row r="15" spans="1:3" x14ac:dyDescent="0.25">
      <c r="A15" s="81"/>
      <c r="B15" s="88" t="s">
        <v>36</v>
      </c>
      <c r="C15" s="70">
        <v>2.59</v>
      </c>
    </row>
    <row r="16" spans="1:3" x14ac:dyDescent="0.25">
      <c r="A16" s="81"/>
      <c r="B16" s="82" t="s">
        <v>37</v>
      </c>
      <c r="C16" s="70">
        <f>0.45+3.6</f>
        <v>4.05</v>
      </c>
    </row>
    <row r="17" spans="1:3" x14ac:dyDescent="0.25">
      <c r="A17" s="89"/>
      <c r="B17" s="82" t="s">
        <v>95</v>
      </c>
      <c r="C17" s="70">
        <v>6.2</v>
      </c>
    </row>
    <row r="18" spans="1:3" x14ac:dyDescent="0.25">
      <c r="A18" s="90"/>
      <c r="B18" s="88" t="s">
        <v>38</v>
      </c>
      <c r="C18" s="70">
        <v>0.3</v>
      </c>
    </row>
    <row r="19" spans="1:3" x14ac:dyDescent="0.25">
      <c r="A19" s="90"/>
      <c r="B19" s="88" t="s">
        <v>101</v>
      </c>
      <c r="C19" s="70">
        <v>10.5</v>
      </c>
    </row>
    <row r="20" spans="1:3" x14ac:dyDescent="0.25">
      <c r="A20" s="90"/>
      <c r="B20" s="88" t="s">
        <v>102</v>
      </c>
      <c r="C20" s="70">
        <v>9.85</v>
      </c>
    </row>
    <row r="21" spans="1:3" ht="18.75" x14ac:dyDescent="0.25">
      <c r="A21" s="92"/>
      <c r="B21" s="93" t="s">
        <v>39</v>
      </c>
      <c r="C21" s="94">
        <f t="shared" ref="C21" si="2">C7/C22*100</f>
        <v>100.54637325642206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3863.1489099999999</v>
      </c>
    </row>
    <row r="23" spans="1:3" ht="20.25" x14ac:dyDescent="0.3">
      <c r="A23" s="72">
        <v>2</v>
      </c>
      <c r="B23" s="76" t="s">
        <v>29</v>
      </c>
      <c r="C23" s="78">
        <f>25.73*11.41*12</f>
        <v>3522.9515999999999</v>
      </c>
    </row>
    <row r="24" spans="1:3" ht="20.25" x14ac:dyDescent="0.3">
      <c r="A24" s="72">
        <v>3</v>
      </c>
      <c r="B24" s="79" t="s">
        <v>30</v>
      </c>
      <c r="C24" s="80">
        <v>249.78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90.417310000000001</v>
      </c>
    </row>
    <row r="26" spans="1:3" x14ac:dyDescent="0.25">
      <c r="A26" s="81"/>
      <c r="B26" s="82" t="s">
        <v>32</v>
      </c>
      <c r="C26" s="70">
        <f>0.13725*25.73*12</f>
        <v>42.377310000000001</v>
      </c>
    </row>
    <row r="27" spans="1:3" x14ac:dyDescent="0.25">
      <c r="A27" s="81"/>
      <c r="B27" s="82" t="s">
        <v>33</v>
      </c>
      <c r="C27" s="70">
        <v>17.03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24.92</v>
      </c>
    </row>
    <row r="30" spans="1:3" x14ac:dyDescent="0.25">
      <c r="A30" s="81"/>
      <c r="B30" s="88" t="s">
        <v>36</v>
      </c>
      <c r="C30" s="70">
        <v>2.19</v>
      </c>
    </row>
    <row r="31" spans="1:3" x14ac:dyDescent="0.25">
      <c r="A31" s="81"/>
      <c r="B31" s="82" t="s">
        <v>37</v>
      </c>
      <c r="C31" s="70">
        <v>3.6</v>
      </c>
    </row>
    <row r="32" spans="1:3" x14ac:dyDescent="0.25">
      <c r="A32" s="90"/>
      <c r="B32" s="88" t="s">
        <v>38</v>
      </c>
      <c r="C32" s="70">
        <v>0.3</v>
      </c>
    </row>
    <row r="33" spans="1:3" x14ac:dyDescent="0.25">
      <c r="A33" s="90"/>
      <c r="B33" s="82" t="s">
        <v>95</v>
      </c>
      <c r="C33" s="70">
        <v>2.31</v>
      </c>
    </row>
    <row r="34" spans="1:3" x14ac:dyDescent="0.25">
      <c r="A34" s="98"/>
      <c r="B34" s="99" t="s">
        <v>41</v>
      </c>
      <c r="C34" s="80">
        <f t="shared" ref="C34" si="5">C35+C62+C81+C83+C84</f>
        <v>3826.2719999999999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2757.8720000000003</v>
      </c>
    </row>
    <row r="36" spans="1:3" x14ac:dyDescent="0.25">
      <c r="A36" s="100">
        <v>2</v>
      </c>
      <c r="B36" s="76" t="s">
        <v>43</v>
      </c>
      <c r="C36" s="51">
        <v>544.28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954.89</v>
      </c>
    </row>
    <row r="39" spans="1:3" x14ac:dyDescent="0.25">
      <c r="A39" s="100">
        <v>5</v>
      </c>
      <c r="B39" s="102" t="s">
        <v>46</v>
      </c>
      <c r="C39" s="51">
        <v>259.7</v>
      </c>
    </row>
    <row r="40" spans="1:3" ht="31.5" x14ac:dyDescent="0.25">
      <c r="A40" s="100">
        <v>6</v>
      </c>
      <c r="B40" s="102" t="s">
        <v>47</v>
      </c>
      <c r="C40" s="51">
        <v>39.43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857.38199999999995</v>
      </c>
    </row>
    <row r="42" spans="1:3" x14ac:dyDescent="0.25">
      <c r="A42" s="100"/>
      <c r="B42" s="88" t="s">
        <v>49</v>
      </c>
      <c r="C42" s="104"/>
    </row>
    <row r="43" spans="1:3" x14ac:dyDescent="0.25">
      <c r="A43" s="100"/>
      <c r="B43" s="88" t="s">
        <v>91</v>
      </c>
      <c r="C43" s="51">
        <v>321.95</v>
      </c>
    </row>
    <row r="44" spans="1:3" x14ac:dyDescent="0.25">
      <c r="A44" s="81"/>
      <c r="B44" s="88" t="s">
        <v>78</v>
      </c>
      <c r="C44" s="51">
        <v>49.84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>
        <v>485.59199999999998</v>
      </c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82.53</v>
      </c>
    </row>
    <row r="49" spans="1:3" x14ac:dyDescent="0.25">
      <c r="A49" s="100"/>
      <c r="B49" s="106" t="s">
        <v>52</v>
      </c>
      <c r="C49" s="51">
        <v>15.33</v>
      </c>
    </row>
    <row r="50" spans="1:3" x14ac:dyDescent="0.25">
      <c r="A50" s="100"/>
      <c r="B50" s="106" t="s">
        <v>53</v>
      </c>
      <c r="C50" s="51">
        <v>4.9000000000000004</v>
      </c>
    </row>
    <row r="51" spans="1:3" x14ac:dyDescent="0.25">
      <c r="A51" s="100"/>
      <c r="B51" s="106" t="s">
        <v>54</v>
      </c>
      <c r="C51" s="51">
        <v>8.01</v>
      </c>
    </row>
    <row r="52" spans="1:3" x14ac:dyDescent="0.25">
      <c r="A52" s="100"/>
      <c r="B52" s="106" t="s">
        <v>55</v>
      </c>
      <c r="C52" s="51">
        <v>10.87</v>
      </c>
    </row>
    <row r="53" spans="1:3" x14ac:dyDescent="0.25">
      <c r="A53" s="100"/>
      <c r="B53" s="106" t="s">
        <v>93</v>
      </c>
      <c r="C53" s="51">
        <v>28</v>
      </c>
    </row>
    <row r="54" spans="1:3" x14ac:dyDescent="0.25">
      <c r="A54" s="100"/>
      <c r="B54" s="88" t="s">
        <v>56</v>
      </c>
      <c r="C54" s="51">
        <v>3.54</v>
      </c>
    </row>
    <row r="55" spans="1:3" x14ac:dyDescent="0.25">
      <c r="A55" s="100"/>
      <c r="B55" s="88" t="s">
        <v>96</v>
      </c>
      <c r="C55" s="51">
        <v>10.28</v>
      </c>
    </row>
    <row r="56" spans="1:3" x14ac:dyDescent="0.25">
      <c r="A56" s="100"/>
      <c r="B56" s="88" t="s">
        <v>97</v>
      </c>
      <c r="C56" s="51">
        <v>1.6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7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19.66</v>
      </c>
    </row>
    <row r="60" spans="1:3" x14ac:dyDescent="0.25">
      <c r="A60" s="100"/>
      <c r="B60" s="82" t="s">
        <v>58</v>
      </c>
      <c r="C60" s="51">
        <v>13.96</v>
      </c>
    </row>
    <row r="61" spans="1:3" x14ac:dyDescent="0.25">
      <c r="A61" s="100"/>
      <c r="B61" s="82" t="s">
        <v>59</v>
      </c>
      <c r="C61" s="51">
        <v>5.7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691.2399999999999</v>
      </c>
    </row>
    <row r="63" spans="1:3" x14ac:dyDescent="0.25">
      <c r="A63" s="100">
        <v>11</v>
      </c>
      <c r="B63" s="76" t="s">
        <v>61</v>
      </c>
      <c r="C63" s="51">
        <v>151.38999999999999</v>
      </c>
    </row>
    <row r="64" spans="1:3" x14ac:dyDescent="0.25">
      <c r="A64" s="100">
        <v>12</v>
      </c>
      <c r="B64" s="108" t="s">
        <v>62</v>
      </c>
      <c r="C64" s="51">
        <v>400.68</v>
      </c>
    </row>
    <row r="65" spans="1:3" x14ac:dyDescent="0.25">
      <c r="A65" s="100">
        <v>13</v>
      </c>
      <c r="B65" s="108" t="s">
        <v>46</v>
      </c>
      <c r="C65" s="51">
        <v>94.38</v>
      </c>
    </row>
    <row r="66" spans="1:3" x14ac:dyDescent="0.25">
      <c r="A66" s="100">
        <v>14</v>
      </c>
      <c r="B66" s="103" t="s">
        <v>63</v>
      </c>
      <c r="C66" s="80">
        <f t="shared" ref="C66" si="11">C68</f>
        <v>6.53</v>
      </c>
    </row>
    <row r="67" spans="1:3" x14ac:dyDescent="0.25">
      <c r="A67" s="109"/>
      <c r="B67" s="106" t="s">
        <v>99</v>
      </c>
      <c r="C67" s="51">
        <v>12.85</v>
      </c>
    </row>
    <row r="68" spans="1:3" x14ac:dyDescent="0.25">
      <c r="A68" s="100"/>
      <c r="B68" s="108" t="s">
        <v>64</v>
      </c>
      <c r="C68" s="51">
        <v>6.53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38.26</v>
      </c>
    </row>
    <row r="70" spans="1:3" x14ac:dyDescent="0.25">
      <c r="A70" s="100"/>
      <c r="B70" s="82" t="s">
        <v>66</v>
      </c>
      <c r="C70" s="51">
        <v>0.54</v>
      </c>
    </row>
    <row r="71" spans="1:3" x14ac:dyDescent="0.25">
      <c r="A71" s="100"/>
      <c r="B71" s="82" t="s">
        <v>67</v>
      </c>
      <c r="C71" s="51">
        <v>10.54</v>
      </c>
    </row>
    <row r="72" spans="1:3" x14ac:dyDescent="0.25">
      <c r="A72" s="100"/>
      <c r="B72" s="82" t="s">
        <v>68</v>
      </c>
      <c r="C72" s="51">
        <v>5.23</v>
      </c>
    </row>
    <row r="73" spans="1:3" x14ac:dyDescent="0.25">
      <c r="A73" s="112"/>
      <c r="B73" s="82" t="s">
        <v>69</v>
      </c>
      <c r="C73" s="51">
        <v>4.34</v>
      </c>
    </row>
    <row r="74" spans="1:3" x14ac:dyDescent="0.25">
      <c r="A74" s="112"/>
      <c r="B74" s="82" t="s">
        <v>70</v>
      </c>
      <c r="C74" s="87">
        <v>0.54</v>
      </c>
    </row>
    <row r="75" spans="1:3" x14ac:dyDescent="0.25">
      <c r="A75" s="112"/>
      <c r="B75" s="82" t="s">
        <v>71</v>
      </c>
      <c r="C75" s="87">
        <v>1.47</v>
      </c>
    </row>
    <row r="76" spans="1:3" x14ac:dyDescent="0.25">
      <c r="A76" s="112"/>
      <c r="B76" s="82" t="s">
        <v>72</v>
      </c>
      <c r="C76" s="87">
        <v>0.75</v>
      </c>
    </row>
    <row r="77" spans="1:3" x14ac:dyDescent="0.25">
      <c r="A77" s="100"/>
      <c r="B77" s="82" t="s">
        <v>98</v>
      </c>
      <c r="C77" s="51">
        <v>7.25</v>
      </c>
    </row>
    <row r="78" spans="1:3" x14ac:dyDescent="0.25">
      <c r="A78" s="100"/>
      <c r="B78" s="82" t="s">
        <v>73</v>
      </c>
      <c r="C78" s="51">
        <v>0.28000000000000003</v>
      </c>
    </row>
    <row r="79" spans="1:3" x14ac:dyDescent="0.25">
      <c r="A79" s="100"/>
      <c r="B79" s="82" t="s">
        <v>100</v>
      </c>
      <c r="C79" s="51">
        <v>0.04</v>
      </c>
    </row>
    <row r="80" spans="1:3" x14ac:dyDescent="0.25">
      <c r="A80" s="113"/>
      <c r="B80" s="82" t="s">
        <v>74</v>
      </c>
      <c r="C80" s="51">
        <v>6.61</v>
      </c>
    </row>
    <row r="81" spans="1:3" x14ac:dyDescent="0.25">
      <c r="A81" s="114"/>
      <c r="B81" s="82" t="s">
        <v>75</v>
      </c>
      <c r="C81" s="51">
        <v>102.48</v>
      </c>
    </row>
    <row r="82" spans="1:3" x14ac:dyDescent="0.25">
      <c r="A82" s="114"/>
      <c r="B82" s="108" t="s">
        <v>76</v>
      </c>
      <c r="C82" s="51">
        <v>0.67</v>
      </c>
    </row>
    <row r="83" spans="1:3" x14ac:dyDescent="0.25">
      <c r="A83" s="115">
        <v>18</v>
      </c>
      <c r="B83" s="102" t="s">
        <v>77</v>
      </c>
      <c r="C83" s="51">
        <v>52.5</v>
      </c>
    </row>
    <row r="84" spans="1:3" ht="18" x14ac:dyDescent="0.25">
      <c r="A84" s="116">
        <v>19</v>
      </c>
      <c r="B84" s="79" t="s">
        <v>30</v>
      </c>
      <c r="C84" s="117">
        <v>222.18</v>
      </c>
    </row>
    <row r="85" spans="1:3" ht="29.25" x14ac:dyDescent="0.25">
      <c r="A85" s="118"/>
      <c r="B85" s="119" t="s">
        <v>105</v>
      </c>
      <c r="C85" s="120">
        <f t="shared" ref="C85" si="13">C22-C34</f>
        <v>36.876909999999953</v>
      </c>
    </row>
    <row r="86" spans="1:3" ht="31.5" x14ac:dyDescent="0.25">
      <c r="A86" s="60"/>
      <c r="B86" s="61" t="s">
        <v>92</v>
      </c>
      <c r="C86" s="80">
        <v>355.61</v>
      </c>
    </row>
    <row r="87" spans="1:3" x14ac:dyDescent="0.25">
      <c r="C87" s="86"/>
    </row>
  </sheetData>
  <pageMargins left="0.7" right="0.7" top="0.3" bottom="0.27" header="0.3" footer="0.3"/>
  <pageSetup paperSize="9" scale="53" orientation="portrait" verticalDpi="300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87"/>
  <sheetViews>
    <sheetView view="pageBreakPreview" zoomScale="60" zoomScaleNormal="100" workbookViewId="0">
      <selection activeCell="F35" sqref="F35"/>
    </sheetView>
  </sheetViews>
  <sheetFormatPr defaultRowHeight="15.75" x14ac:dyDescent="0.25"/>
  <cols>
    <col min="1" max="1" width="7.7109375" style="52" customWidth="1"/>
    <col min="2" max="2" width="85.42578125" style="55" customWidth="1"/>
    <col min="3" max="3" width="43" style="55" customWidth="1"/>
  </cols>
  <sheetData>
    <row r="1" spans="1:3" x14ac:dyDescent="0.25">
      <c r="B1" s="53" t="s">
        <v>87</v>
      </c>
    </row>
    <row r="2" spans="1:3" x14ac:dyDescent="0.25">
      <c r="B2" s="58"/>
    </row>
    <row r="3" spans="1:3" x14ac:dyDescent="0.25">
      <c r="A3" s="60"/>
      <c r="B3" s="61"/>
      <c r="C3" s="64" t="s">
        <v>19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9.35</v>
      </c>
    </row>
    <row r="6" spans="1:3" x14ac:dyDescent="0.25">
      <c r="A6" s="67"/>
      <c r="B6" s="68" t="s">
        <v>89</v>
      </c>
      <c r="C6" s="70">
        <v>475.05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3133.846</v>
      </c>
    </row>
    <row r="8" spans="1:3" ht="20.25" x14ac:dyDescent="0.3">
      <c r="A8" s="72">
        <v>2</v>
      </c>
      <c r="B8" s="76" t="s">
        <v>29</v>
      </c>
      <c r="C8" s="78">
        <f>25.73*9.35*12</f>
        <v>2886.9059999999999</v>
      </c>
    </row>
    <row r="9" spans="1:3" ht="20.25" x14ac:dyDescent="0.3">
      <c r="A9" s="72">
        <v>3</v>
      </c>
      <c r="B9" s="79" t="s">
        <v>30</v>
      </c>
      <c r="C9" s="80">
        <v>204.14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42.8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13.95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23.09</v>
      </c>
    </row>
    <row r="15" spans="1:3" x14ac:dyDescent="0.25">
      <c r="A15" s="81"/>
      <c r="B15" s="88" t="s">
        <v>36</v>
      </c>
      <c r="C15" s="70">
        <v>1.76</v>
      </c>
    </row>
    <row r="16" spans="1:3" x14ac:dyDescent="0.25">
      <c r="A16" s="81"/>
      <c r="B16" s="82" t="s">
        <v>37</v>
      </c>
      <c r="C16" s="70">
        <v>3</v>
      </c>
    </row>
    <row r="17" spans="1:3" x14ac:dyDescent="0.25">
      <c r="A17" s="89"/>
      <c r="B17" s="82" t="s">
        <v>95</v>
      </c>
      <c r="C17" s="70">
        <v>5</v>
      </c>
    </row>
    <row r="18" spans="1:3" x14ac:dyDescent="0.25">
      <c r="A18" s="90"/>
      <c r="B18" s="88" t="s">
        <v>38</v>
      </c>
      <c r="C18" s="70">
        <v>1</v>
      </c>
    </row>
    <row r="19" spans="1:3" x14ac:dyDescent="0.25">
      <c r="A19" s="90"/>
      <c r="B19" s="88" t="s">
        <v>101</v>
      </c>
      <c r="C19" s="70">
        <v>8.61</v>
      </c>
    </row>
    <row r="20" spans="1:3" x14ac:dyDescent="0.25">
      <c r="A20" s="90"/>
      <c r="B20" s="88" t="s">
        <v>102</v>
      </c>
      <c r="C20" s="70">
        <v>7.63</v>
      </c>
    </row>
    <row r="21" spans="1:3" ht="18.75" x14ac:dyDescent="0.25">
      <c r="A21" s="92"/>
      <c r="B21" s="93" t="s">
        <v>39</v>
      </c>
      <c r="C21" s="94">
        <f t="shared" ref="C21" si="2">C7/C22*100</f>
        <v>100.06673572270637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3131.7559999999999</v>
      </c>
    </row>
    <row r="23" spans="1:3" ht="20.25" x14ac:dyDescent="0.3">
      <c r="A23" s="72">
        <v>2</v>
      </c>
      <c r="B23" s="76" t="s">
        <v>29</v>
      </c>
      <c r="C23" s="78">
        <f>25.73*9.35*12</f>
        <v>2886.9059999999999</v>
      </c>
    </row>
    <row r="24" spans="1:3" ht="20.25" x14ac:dyDescent="0.3">
      <c r="A24" s="72">
        <v>3</v>
      </c>
      <c r="B24" s="79" t="s">
        <v>30</v>
      </c>
      <c r="C24" s="80">
        <v>204.68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40.17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13.95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20.420000000000002</v>
      </c>
    </row>
    <row r="30" spans="1:3" x14ac:dyDescent="0.25">
      <c r="A30" s="81"/>
      <c r="B30" s="88" t="s">
        <v>36</v>
      </c>
      <c r="C30" s="70">
        <v>1.8</v>
      </c>
    </row>
    <row r="31" spans="1:3" x14ac:dyDescent="0.25">
      <c r="A31" s="81"/>
      <c r="B31" s="82" t="s">
        <v>37</v>
      </c>
      <c r="C31" s="70">
        <v>3</v>
      </c>
    </row>
    <row r="32" spans="1:3" x14ac:dyDescent="0.25">
      <c r="A32" s="90"/>
      <c r="B32" s="88" t="s">
        <v>38</v>
      </c>
      <c r="C32" s="70">
        <v>1</v>
      </c>
    </row>
    <row r="33" spans="1:3" x14ac:dyDescent="0.25">
      <c r="A33" s="90"/>
      <c r="B33" s="82" t="s">
        <v>95</v>
      </c>
      <c r="C33" s="70">
        <v>1.89</v>
      </c>
    </row>
    <row r="34" spans="1:3" x14ac:dyDescent="0.25">
      <c r="A34" s="98"/>
      <c r="B34" s="99" t="s">
        <v>41</v>
      </c>
      <c r="C34" s="80">
        <f t="shared" ref="C34" si="5">C35+C62+C81+C83+C84</f>
        <v>2549.0860000000002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1673.6960000000001</v>
      </c>
    </row>
    <row r="36" spans="1:3" x14ac:dyDescent="0.25">
      <c r="A36" s="100">
        <v>2</v>
      </c>
      <c r="B36" s="76" t="s">
        <v>43</v>
      </c>
      <c r="C36" s="51">
        <v>527.94000000000005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782.48</v>
      </c>
    </row>
    <row r="39" spans="1:3" x14ac:dyDescent="0.25">
      <c r="A39" s="100">
        <v>5</v>
      </c>
      <c r="B39" s="102" t="s">
        <v>46</v>
      </c>
      <c r="C39" s="51">
        <v>188.23</v>
      </c>
    </row>
    <row r="40" spans="1:3" ht="31.5" x14ac:dyDescent="0.25">
      <c r="A40" s="100">
        <v>6</v>
      </c>
      <c r="B40" s="102" t="s">
        <v>47</v>
      </c>
      <c r="C40" s="51">
        <v>32.31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55.016000000000005</v>
      </c>
    </row>
    <row r="42" spans="1:3" x14ac:dyDescent="0.25">
      <c r="A42" s="100"/>
      <c r="B42" s="88" t="s">
        <v>49</v>
      </c>
      <c r="C42" s="51">
        <f>21.176-7</f>
        <v>14.175999999999998</v>
      </c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40.840000000000003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71.38</v>
      </c>
    </row>
    <row r="49" spans="1:3" x14ac:dyDescent="0.25">
      <c r="A49" s="100"/>
      <c r="B49" s="106" t="s">
        <v>52</v>
      </c>
      <c r="C49" s="51">
        <v>12.56</v>
      </c>
    </row>
    <row r="50" spans="1:3" x14ac:dyDescent="0.25">
      <c r="A50" s="100"/>
      <c r="B50" s="106" t="s">
        <v>53</v>
      </c>
      <c r="C50" s="51">
        <v>3.7</v>
      </c>
    </row>
    <row r="51" spans="1:3" x14ac:dyDescent="0.25">
      <c r="A51" s="100"/>
      <c r="B51" s="106" t="s">
        <v>54</v>
      </c>
      <c r="C51" s="51">
        <v>5.56</v>
      </c>
    </row>
    <row r="52" spans="1:3" x14ac:dyDescent="0.25">
      <c r="A52" s="100"/>
      <c r="B52" s="106" t="s">
        <v>55</v>
      </c>
      <c r="C52" s="51">
        <v>8.91</v>
      </c>
    </row>
    <row r="53" spans="1:3" x14ac:dyDescent="0.25">
      <c r="A53" s="100"/>
      <c r="B53" s="106" t="s">
        <v>93</v>
      </c>
      <c r="C53" s="51">
        <v>28</v>
      </c>
    </row>
    <row r="54" spans="1:3" x14ac:dyDescent="0.25">
      <c r="A54" s="100"/>
      <c r="B54" s="88" t="s">
        <v>56</v>
      </c>
      <c r="C54" s="51">
        <v>2.9</v>
      </c>
    </row>
    <row r="55" spans="1:3" x14ac:dyDescent="0.25">
      <c r="A55" s="100"/>
      <c r="B55" s="88" t="s">
        <v>96</v>
      </c>
      <c r="C55" s="51">
        <v>8.43</v>
      </c>
    </row>
    <row r="56" spans="1:3" x14ac:dyDescent="0.25">
      <c r="A56" s="100"/>
      <c r="B56" s="88" t="s">
        <v>97</v>
      </c>
      <c r="C56" s="51">
        <v>1.32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5.71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16.34</v>
      </c>
    </row>
    <row r="60" spans="1:3" x14ac:dyDescent="0.25">
      <c r="A60" s="100"/>
      <c r="B60" s="82" t="s">
        <v>58</v>
      </c>
      <c r="C60" s="51">
        <v>11.44</v>
      </c>
    </row>
    <row r="61" spans="1:3" x14ac:dyDescent="0.25">
      <c r="A61" s="100"/>
      <c r="B61" s="82" t="s">
        <v>59</v>
      </c>
      <c r="C61" s="51">
        <v>4.9000000000000004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566.24</v>
      </c>
    </row>
    <row r="63" spans="1:3" x14ac:dyDescent="0.25">
      <c r="A63" s="100">
        <v>11</v>
      </c>
      <c r="B63" s="76" t="s">
        <v>61</v>
      </c>
      <c r="C63" s="51">
        <v>124.06</v>
      </c>
    </row>
    <row r="64" spans="1:3" x14ac:dyDescent="0.25">
      <c r="A64" s="100">
        <v>12</v>
      </c>
      <c r="B64" s="108" t="s">
        <v>62</v>
      </c>
      <c r="C64" s="51">
        <v>328.34</v>
      </c>
    </row>
    <row r="65" spans="1:3" x14ac:dyDescent="0.25">
      <c r="A65" s="100">
        <v>13</v>
      </c>
      <c r="B65" s="108" t="s">
        <v>46</v>
      </c>
      <c r="C65" s="51">
        <v>77.34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5.35</v>
      </c>
    </row>
    <row r="67" spans="1:3" x14ac:dyDescent="0.25">
      <c r="A67" s="109"/>
      <c r="B67" s="106" t="s">
        <v>99</v>
      </c>
      <c r="C67" s="51">
        <v>10.53</v>
      </c>
    </row>
    <row r="68" spans="1:3" x14ac:dyDescent="0.25">
      <c r="A68" s="100"/>
      <c r="B68" s="108" t="s">
        <v>64</v>
      </c>
      <c r="C68" s="51">
        <v>5.35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31.150000000000002</v>
      </c>
    </row>
    <row r="70" spans="1:3" x14ac:dyDescent="0.25">
      <c r="A70" s="100"/>
      <c r="B70" s="82" t="s">
        <v>66</v>
      </c>
      <c r="C70" s="51">
        <v>0.24</v>
      </c>
    </row>
    <row r="71" spans="1:3" x14ac:dyDescent="0.25">
      <c r="A71" s="100"/>
      <c r="B71" s="82" t="s">
        <v>67</v>
      </c>
      <c r="C71" s="51">
        <v>8.64</v>
      </c>
    </row>
    <row r="72" spans="1:3" x14ac:dyDescent="0.25">
      <c r="A72" s="100"/>
      <c r="B72" s="82" t="s">
        <v>68</v>
      </c>
      <c r="C72" s="51">
        <v>4.29</v>
      </c>
    </row>
    <row r="73" spans="1:3" x14ac:dyDescent="0.25">
      <c r="A73" s="112"/>
      <c r="B73" s="82" t="s">
        <v>69</v>
      </c>
      <c r="C73" s="51">
        <v>3.56</v>
      </c>
    </row>
    <row r="74" spans="1:3" x14ac:dyDescent="0.25">
      <c r="A74" s="112"/>
      <c r="B74" s="82" t="s">
        <v>70</v>
      </c>
      <c r="C74" s="87">
        <v>0.45</v>
      </c>
    </row>
    <row r="75" spans="1:3" x14ac:dyDescent="0.25">
      <c r="A75" s="112"/>
      <c r="B75" s="82" t="s">
        <v>71</v>
      </c>
      <c r="C75" s="87">
        <v>1.21</v>
      </c>
    </row>
    <row r="76" spans="1:3" x14ac:dyDescent="0.25">
      <c r="A76" s="112"/>
      <c r="B76" s="82" t="s">
        <v>72</v>
      </c>
      <c r="C76" s="87">
        <v>0.61</v>
      </c>
    </row>
    <row r="77" spans="1:3" x14ac:dyDescent="0.25">
      <c r="A77" s="100"/>
      <c r="B77" s="82" t="s">
        <v>98</v>
      </c>
      <c r="C77" s="51">
        <v>5.94</v>
      </c>
    </row>
    <row r="78" spans="1:3" x14ac:dyDescent="0.25">
      <c r="A78" s="100"/>
      <c r="B78" s="82" t="s">
        <v>73</v>
      </c>
      <c r="C78" s="51">
        <v>0.23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5.41</v>
      </c>
    </row>
    <row r="81" spans="1:3" x14ac:dyDescent="0.25">
      <c r="A81" s="114"/>
      <c r="B81" s="82" t="s">
        <v>75</v>
      </c>
      <c r="C81" s="51">
        <v>83.98</v>
      </c>
    </row>
    <row r="82" spans="1:3" x14ac:dyDescent="0.25">
      <c r="A82" s="114"/>
      <c r="B82" s="108" t="s">
        <v>76</v>
      </c>
      <c r="C82" s="51">
        <v>0.55000000000000004</v>
      </c>
    </row>
    <row r="83" spans="1:3" x14ac:dyDescent="0.25">
      <c r="A83" s="115">
        <v>18</v>
      </c>
      <c r="B83" s="102" t="s">
        <v>77</v>
      </c>
      <c r="C83" s="51">
        <v>43.1</v>
      </c>
    </row>
    <row r="84" spans="1:3" ht="18" x14ac:dyDescent="0.25">
      <c r="A84" s="116">
        <v>19</v>
      </c>
      <c r="B84" s="79" t="s">
        <v>30</v>
      </c>
      <c r="C84" s="117">
        <v>182.07</v>
      </c>
    </row>
    <row r="85" spans="1:3" ht="18" x14ac:dyDescent="0.25">
      <c r="A85" s="118"/>
      <c r="B85" s="119" t="s">
        <v>105</v>
      </c>
      <c r="C85" s="120">
        <f t="shared" ref="C85" si="13">C22-C34</f>
        <v>582.66999999999962</v>
      </c>
    </row>
    <row r="86" spans="1:3" x14ac:dyDescent="0.25">
      <c r="A86" s="60"/>
      <c r="B86" s="61" t="s">
        <v>92</v>
      </c>
      <c r="C86" s="80">
        <v>486.75</v>
      </c>
    </row>
    <row r="87" spans="1:3" x14ac:dyDescent="0.25">
      <c r="C87" s="86"/>
    </row>
  </sheetData>
  <pageMargins left="0.4" right="0.28000000000000003" top="0.32" bottom="0.3" header="0.3" footer="0.3"/>
  <pageSetup paperSize="9" scale="53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87"/>
  <sheetViews>
    <sheetView view="pageBreakPreview" zoomScale="60" zoomScaleNormal="100" workbookViewId="0">
      <selection activeCell="C46" sqref="C46"/>
    </sheetView>
  </sheetViews>
  <sheetFormatPr defaultRowHeight="15.75" x14ac:dyDescent="0.25"/>
  <cols>
    <col min="1" max="1" width="6.85546875" style="52" customWidth="1"/>
    <col min="2" max="2" width="63" style="55" customWidth="1"/>
    <col min="3" max="3" width="31.5703125" style="55" customWidth="1"/>
  </cols>
  <sheetData>
    <row r="1" spans="1:3" ht="31.5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20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5.68</v>
      </c>
    </row>
    <row r="6" spans="1:3" ht="31.5" x14ac:dyDescent="0.25">
      <c r="A6" s="67"/>
      <c r="B6" s="68" t="s">
        <v>89</v>
      </c>
      <c r="C6" s="70">
        <v>346.91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1931.4978169000001</v>
      </c>
    </row>
    <row r="8" spans="1:3" ht="20.25" x14ac:dyDescent="0.3">
      <c r="A8" s="72">
        <v>2</v>
      </c>
      <c r="B8" s="76" t="s">
        <v>29</v>
      </c>
      <c r="C8" s="78">
        <f>25.73*5.68*12</f>
        <v>1753.7568000000001</v>
      </c>
    </row>
    <row r="9" spans="1:3" ht="31.5" x14ac:dyDescent="0.3">
      <c r="A9" s="72">
        <v>3</v>
      </c>
      <c r="B9" s="79" t="s">
        <v>30</v>
      </c>
      <c r="C9" s="80">
        <v>124.12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53.621016900000001</v>
      </c>
    </row>
    <row r="11" spans="1:3" x14ac:dyDescent="0.25">
      <c r="A11" s="81"/>
      <c r="B11" s="82" t="s">
        <v>32</v>
      </c>
      <c r="C11" s="70">
        <f>0.06509*25.73*17</f>
        <v>28.471016899999995</v>
      </c>
    </row>
    <row r="12" spans="1:3" x14ac:dyDescent="0.25">
      <c r="A12" s="81"/>
      <c r="B12" s="82" t="s">
        <v>33</v>
      </c>
      <c r="C12" s="70">
        <v>8.48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14.03</v>
      </c>
    </row>
    <row r="15" spans="1:3" x14ac:dyDescent="0.25">
      <c r="A15" s="81"/>
      <c r="B15" s="88" t="s">
        <v>36</v>
      </c>
      <c r="C15" s="70">
        <v>0.84</v>
      </c>
    </row>
    <row r="16" spans="1:3" x14ac:dyDescent="0.25">
      <c r="A16" s="81"/>
      <c r="B16" s="82" t="s">
        <v>37</v>
      </c>
      <c r="C16" s="70">
        <v>1.8</v>
      </c>
    </row>
    <row r="17" spans="1:3" x14ac:dyDescent="0.25">
      <c r="A17" s="89"/>
      <c r="B17" s="82" t="s">
        <v>95</v>
      </c>
      <c r="C17" s="70">
        <v>3.1</v>
      </c>
    </row>
    <row r="18" spans="1:3" x14ac:dyDescent="0.25">
      <c r="A18" s="90"/>
      <c r="B18" s="88" t="s">
        <v>38</v>
      </c>
      <c r="C18" s="70"/>
    </row>
    <row r="19" spans="1:3" x14ac:dyDescent="0.25">
      <c r="A19" s="90"/>
      <c r="B19" s="88" t="s">
        <v>101</v>
      </c>
      <c r="C19" s="70">
        <v>5.23</v>
      </c>
    </row>
    <row r="20" spans="1:3" x14ac:dyDescent="0.25">
      <c r="A20" s="90"/>
      <c r="B20" s="88" t="s">
        <v>102</v>
      </c>
      <c r="C20" s="70">
        <v>4.3600000000000003</v>
      </c>
    </row>
    <row r="21" spans="1:3" ht="18.75" x14ac:dyDescent="0.25">
      <c r="A21" s="92"/>
      <c r="B21" s="93" t="s">
        <v>39</v>
      </c>
      <c r="C21" s="94">
        <f t="shared" ref="C21" si="2">C7/C22*100</f>
        <v>100.05957475590314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1930.3478169</v>
      </c>
    </row>
    <row r="23" spans="1:3" ht="20.25" x14ac:dyDescent="0.3">
      <c r="A23" s="72">
        <v>2</v>
      </c>
      <c r="B23" s="76" t="s">
        <v>29</v>
      </c>
      <c r="C23" s="78">
        <f>25.73*5.68*12</f>
        <v>1753.7568000000001</v>
      </c>
    </row>
    <row r="24" spans="1:3" ht="31.5" x14ac:dyDescent="0.3">
      <c r="A24" s="72">
        <v>3</v>
      </c>
      <c r="B24" s="79" t="s">
        <v>30</v>
      </c>
      <c r="C24" s="80">
        <v>124.34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52.251016899999996</v>
      </c>
    </row>
    <row r="26" spans="1:3" x14ac:dyDescent="0.25">
      <c r="A26" s="81"/>
      <c r="B26" s="82" t="s">
        <v>32</v>
      </c>
      <c r="C26" s="70">
        <f>0.06509*25.73*17</f>
        <v>28.471016899999995</v>
      </c>
    </row>
    <row r="27" spans="1:3" x14ac:dyDescent="0.25">
      <c r="A27" s="81"/>
      <c r="B27" s="82" t="s">
        <v>33</v>
      </c>
      <c r="C27" s="70">
        <v>8.48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12.41</v>
      </c>
    </row>
    <row r="30" spans="1:3" x14ac:dyDescent="0.25">
      <c r="A30" s="81"/>
      <c r="B30" s="88" t="s">
        <v>36</v>
      </c>
      <c r="C30" s="70">
        <v>1.0900000000000001</v>
      </c>
    </row>
    <row r="31" spans="1:3" x14ac:dyDescent="0.25">
      <c r="A31" s="81"/>
      <c r="B31" s="82" t="s">
        <v>37</v>
      </c>
      <c r="C31" s="70">
        <v>1.8</v>
      </c>
    </row>
    <row r="32" spans="1:3" x14ac:dyDescent="0.25">
      <c r="A32" s="90"/>
      <c r="B32" s="88" t="s">
        <v>38</v>
      </c>
      <c r="C32" s="70"/>
    </row>
    <row r="33" spans="1:3" x14ac:dyDescent="0.25">
      <c r="A33" s="90"/>
      <c r="B33" s="82" t="s">
        <v>95</v>
      </c>
      <c r="C33" s="70">
        <v>1.1499999999999999</v>
      </c>
    </row>
    <row r="34" spans="1:3" x14ac:dyDescent="0.25">
      <c r="A34" s="98"/>
      <c r="B34" s="99" t="s">
        <v>41</v>
      </c>
      <c r="C34" s="80">
        <f t="shared" ref="C34" si="5">C35+C62+C81+C83+C84</f>
        <v>1903.3799999999999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1371.54</v>
      </c>
    </row>
    <row r="36" spans="1:3" x14ac:dyDescent="0.25">
      <c r="A36" s="100">
        <v>2</v>
      </c>
      <c r="B36" s="76" t="s">
        <v>43</v>
      </c>
      <c r="C36" s="51">
        <v>320.72000000000003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475.35</v>
      </c>
    </row>
    <row r="39" spans="1:3" x14ac:dyDescent="0.25">
      <c r="A39" s="100">
        <v>5</v>
      </c>
      <c r="B39" s="102" t="s">
        <v>46</v>
      </c>
      <c r="C39" s="51">
        <v>114.35</v>
      </c>
    </row>
    <row r="40" spans="1:3" ht="31.5" x14ac:dyDescent="0.25">
      <c r="A40" s="100">
        <v>6</v>
      </c>
      <c r="B40" s="102" t="s">
        <v>47</v>
      </c>
      <c r="C40" s="51">
        <v>19.63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404.68</v>
      </c>
    </row>
    <row r="42" spans="1:3" x14ac:dyDescent="0.25">
      <c r="A42" s="100"/>
      <c r="B42" s="88" t="s">
        <v>49</v>
      </c>
      <c r="C42" s="51">
        <f>10.26</f>
        <v>10.26</v>
      </c>
    </row>
    <row r="43" spans="1:3" x14ac:dyDescent="0.25">
      <c r="A43" s="100"/>
      <c r="B43" s="88" t="s">
        <v>91</v>
      </c>
      <c r="C43" s="51">
        <v>369.61</v>
      </c>
    </row>
    <row r="44" spans="1:3" x14ac:dyDescent="0.25">
      <c r="A44" s="81"/>
      <c r="B44" s="88" t="s">
        <v>78</v>
      </c>
      <c r="C44" s="51">
        <v>24.81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26.960000000000004</v>
      </c>
    </row>
    <row r="49" spans="1:3" x14ac:dyDescent="0.25">
      <c r="A49" s="100"/>
      <c r="B49" s="106" t="s">
        <v>52</v>
      </c>
      <c r="C49" s="51">
        <v>7.63</v>
      </c>
    </row>
    <row r="50" spans="1:3" x14ac:dyDescent="0.25">
      <c r="A50" s="100"/>
      <c r="B50" s="106" t="s">
        <v>53</v>
      </c>
      <c r="C50" s="51">
        <v>2.25</v>
      </c>
    </row>
    <row r="51" spans="1:3" x14ac:dyDescent="0.25">
      <c r="A51" s="100"/>
      <c r="B51" s="106" t="s">
        <v>54</v>
      </c>
      <c r="C51" s="51">
        <v>3.99</v>
      </c>
    </row>
    <row r="52" spans="1:3" x14ac:dyDescent="0.25">
      <c r="A52" s="100"/>
      <c r="B52" s="106" t="s">
        <v>55</v>
      </c>
      <c r="C52" s="51">
        <v>5.41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1.76</v>
      </c>
    </row>
    <row r="55" spans="1:3" x14ac:dyDescent="0.25">
      <c r="A55" s="100"/>
      <c r="B55" s="88" t="s">
        <v>96</v>
      </c>
      <c r="C55" s="51">
        <v>5.12</v>
      </c>
    </row>
    <row r="56" spans="1:3" x14ac:dyDescent="0.25">
      <c r="A56" s="100"/>
      <c r="B56" s="88" t="s">
        <v>97</v>
      </c>
      <c r="C56" s="51">
        <v>0.8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3.48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9.85</v>
      </c>
    </row>
    <row r="60" spans="1:3" x14ac:dyDescent="0.25">
      <c r="A60" s="100"/>
      <c r="B60" s="82" t="s">
        <v>58</v>
      </c>
      <c r="C60" s="51">
        <v>6.95</v>
      </c>
    </row>
    <row r="61" spans="1:3" x14ac:dyDescent="0.25">
      <c r="A61" s="100"/>
      <c r="B61" s="82" t="s">
        <v>59</v>
      </c>
      <c r="C61" s="51">
        <v>2.9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344.12000000000006</v>
      </c>
    </row>
    <row r="63" spans="1:3" x14ac:dyDescent="0.25">
      <c r="A63" s="100">
        <v>11</v>
      </c>
      <c r="B63" s="76" t="s">
        <v>61</v>
      </c>
      <c r="C63" s="51">
        <v>75.37</v>
      </c>
    </row>
    <row r="64" spans="1:3" x14ac:dyDescent="0.25">
      <c r="A64" s="100">
        <v>12</v>
      </c>
      <c r="B64" s="108" t="s">
        <v>62</v>
      </c>
      <c r="C64" s="51">
        <v>199.46</v>
      </c>
    </row>
    <row r="65" spans="1:3" x14ac:dyDescent="0.25">
      <c r="A65" s="100">
        <v>13</v>
      </c>
      <c r="B65" s="108" t="s">
        <v>46</v>
      </c>
      <c r="C65" s="51">
        <v>46.98</v>
      </c>
    </row>
    <row r="66" spans="1:3" x14ac:dyDescent="0.25">
      <c r="A66" s="100">
        <v>14</v>
      </c>
      <c r="B66" s="103" t="s">
        <v>63</v>
      </c>
      <c r="C66" s="80">
        <f t="shared" ref="C66" si="11">C68</f>
        <v>3.25</v>
      </c>
    </row>
    <row r="67" spans="1:3" x14ac:dyDescent="0.25">
      <c r="A67" s="109"/>
      <c r="B67" s="106" t="s">
        <v>99</v>
      </c>
      <c r="C67" s="51">
        <v>6.4</v>
      </c>
    </row>
    <row r="68" spans="1:3" x14ac:dyDescent="0.25">
      <c r="A68" s="100"/>
      <c r="B68" s="108" t="s">
        <v>64</v>
      </c>
      <c r="C68" s="51">
        <v>3.25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19.059999999999999</v>
      </c>
    </row>
    <row r="70" spans="1:3" x14ac:dyDescent="0.25">
      <c r="A70" s="100"/>
      <c r="B70" s="82" t="s">
        <v>66</v>
      </c>
      <c r="C70" s="51">
        <v>0.28000000000000003</v>
      </c>
    </row>
    <row r="71" spans="1:3" x14ac:dyDescent="0.25">
      <c r="A71" s="100"/>
      <c r="B71" s="82" t="s">
        <v>67</v>
      </c>
      <c r="C71" s="51">
        <v>5.25</v>
      </c>
    </row>
    <row r="72" spans="1:3" x14ac:dyDescent="0.25">
      <c r="A72" s="100"/>
      <c r="B72" s="82" t="s">
        <v>68</v>
      </c>
      <c r="C72" s="51">
        <v>2.6</v>
      </c>
    </row>
    <row r="73" spans="1:3" ht="30" x14ac:dyDescent="0.25">
      <c r="A73" s="112"/>
      <c r="B73" s="82" t="s">
        <v>69</v>
      </c>
      <c r="C73" s="51">
        <v>2.16</v>
      </c>
    </row>
    <row r="74" spans="1:3" x14ac:dyDescent="0.25">
      <c r="A74" s="112"/>
      <c r="B74" s="82" t="s">
        <v>70</v>
      </c>
      <c r="C74" s="87">
        <v>0.27</v>
      </c>
    </row>
    <row r="75" spans="1:3" x14ac:dyDescent="0.25">
      <c r="A75" s="112"/>
      <c r="B75" s="82" t="s">
        <v>71</v>
      </c>
      <c r="C75" s="87">
        <v>0.73</v>
      </c>
    </row>
    <row r="76" spans="1:3" x14ac:dyDescent="0.25">
      <c r="A76" s="112"/>
      <c r="B76" s="82" t="s">
        <v>72</v>
      </c>
      <c r="C76" s="87">
        <v>0.37</v>
      </c>
    </row>
    <row r="77" spans="1:3" x14ac:dyDescent="0.25">
      <c r="A77" s="100"/>
      <c r="B77" s="82" t="s">
        <v>98</v>
      </c>
      <c r="C77" s="51">
        <v>3.61</v>
      </c>
    </row>
    <row r="78" spans="1:3" x14ac:dyDescent="0.25">
      <c r="A78" s="100"/>
      <c r="B78" s="82" t="s">
        <v>73</v>
      </c>
      <c r="C78" s="51">
        <v>0.14000000000000001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3.29</v>
      </c>
    </row>
    <row r="81" spans="1:3" x14ac:dyDescent="0.25">
      <c r="A81" s="114"/>
      <c r="B81" s="82" t="s">
        <v>75</v>
      </c>
      <c r="C81" s="51">
        <v>51.02</v>
      </c>
    </row>
    <row r="82" spans="1:3" ht="30" x14ac:dyDescent="0.25">
      <c r="A82" s="114"/>
      <c r="B82" s="108" t="s">
        <v>76</v>
      </c>
      <c r="C82" s="51">
        <v>0.33</v>
      </c>
    </row>
    <row r="83" spans="1:3" x14ac:dyDescent="0.25">
      <c r="A83" s="115">
        <v>18</v>
      </c>
      <c r="B83" s="102" t="s">
        <v>77</v>
      </c>
      <c r="C83" s="51">
        <v>26.1</v>
      </c>
    </row>
    <row r="84" spans="1:3" ht="31.5" x14ac:dyDescent="0.25">
      <c r="A84" s="116">
        <v>19</v>
      </c>
      <c r="B84" s="79" t="s">
        <v>30</v>
      </c>
      <c r="C84" s="117">
        <v>110.6</v>
      </c>
    </row>
    <row r="85" spans="1:3" ht="29.25" x14ac:dyDescent="0.25">
      <c r="A85" s="118"/>
      <c r="B85" s="119" t="s">
        <v>105</v>
      </c>
      <c r="C85" s="120">
        <f t="shared" ref="C85" si="13">C22-C34</f>
        <v>26.967816900000116</v>
      </c>
    </row>
    <row r="86" spans="1:3" ht="31.5" x14ac:dyDescent="0.25">
      <c r="A86" s="60"/>
      <c r="B86" s="61" t="s">
        <v>92</v>
      </c>
      <c r="C86" s="80">
        <v>388.11</v>
      </c>
    </row>
    <row r="87" spans="1:3" x14ac:dyDescent="0.25">
      <c r="C87" s="86"/>
    </row>
  </sheetData>
  <pageMargins left="0.7" right="0.7" top="0.27" bottom="0.2" header="0.3" footer="0.2"/>
  <pageSetup paperSize="9" scale="4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H6" sqref="H6"/>
    </sheetView>
  </sheetViews>
  <sheetFormatPr defaultRowHeight="15.75" x14ac:dyDescent="0.25"/>
  <cols>
    <col min="1" max="1" width="7.42578125" style="52" customWidth="1"/>
    <col min="2" max="2" width="89" style="55" customWidth="1"/>
    <col min="3" max="3" width="26.710937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21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9.5500000000000007</v>
      </c>
    </row>
    <row r="6" spans="1:3" x14ac:dyDescent="0.25">
      <c r="A6" s="67"/>
      <c r="B6" s="68" t="s">
        <v>89</v>
      </c>
      <c r="C6" s="70">
        <v>440.72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3230.9051031000004</v>
      </c>
    </row>
    <row r="8" spans="1:3" ht="20.25" x14ac:dyDescent="0.3">
      <c r="A8" s="72">
        <v>2</v>
      </c>
      <c r="B8" s="76" t="s">
        <v>29</v>
      </c>
      <c r="C8" s="78">
        <f>25.73*9.55*12</f>
        <v>2948.6580000000004</v>
      </c>
    </row>
    <row r="9" spans="1:3" ht="20.25" x14ac:dyDescent="0.3">
      <c r="A9" s="72">
        <v>3</v>
      </c>
      <c r="B9" s="79" t="s">
        <v>30</v>
      </c>
      <c r="C9" s="80">
        <v>208.51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73.737103099999999</v>
      </c>
    </row>
    <row r="11" spans="1:3" x14ac:dyDescent="0.25">
      <c r="A11" s="81"/>
      <c r="B11" s="82" t="s">
        <v>32</v>
      </c>
      <c r="C11" s="70">
        <f>0.06691*25.73*17</f>
        <v>29.2671031</v>
      </c>
    </row>
    <row r="12" spans="1:3" x14ac:dyDescent="0.25">
      <c r="A12" s="81"/>
      <c r="B12" s="82" t="s">
        <v>33</v>
      </c>
      <c r="C12" s="70">
        <v>14.25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23.59</v>
      </c>
    </row>
    <row r="15" spans="1:3" x14ac:dyDescent="0.25">
      <c r="A15" s="81"/>
      <c r="B15" s="88" t="s">
        <v>36</v>
      </c>
      <c r="C15" s="70">
        <v>2.13</v>
      </c>
    </row>
    <row r="16" spans="1:3" x14ac:dyDescent="0.25">
      <c r="A16" s="81"/>
      <c r="B16" s="82" t="s">
        <v>37</v>
      </c>
      <c r="C16" s="70">
        <v>3</v>
      </c>
    </row>
    <row r="17" spans="1:3" x14ac:dyDescent="0.25">
      <c r="A17" s="89"/>
      <c r="B17" s="82" t="s">
        <v>95</v>
      </c>
      <c r="C17" s="70">
        <v>5.0999999999999996</v>
      </c>
    </row>
    <row r="18" spans="1:3" x14ac:dyDescent="0.25">
      <c r="A18" s="90"/>
      <c r="B18" s="88" t="s">
        <v>38</v>
      </c>
      <c r="C18" s="70">
        <v>1.5</v>
      </c>
    </row>
    <row r="19" spans="1:3" x14ac:dyDescent="0.25">
      <c r="A19" s="90"/>
      <c r="B19" s="88" t="s">
        <v>101</v>
      </c>
      <c r="C19" s="70">
        <v>8.7899999999999991</v>
      </c>
    </row>
    <row r="20" spans="1:3" x14ac:dyDescent="0.25">
      <c r="A20" s="90"/>
      <c r="B20" s="88" t="s">
        <v>102</v>
      </c>
      <c r="C20" s="70">
        <v>6.42</v>
      </c>
    </row>
    <row r="21" spans="1:3" ht="18.75" x14ac:dyDescent="0.25">
      <c r="A21" s="92"/>
      <c r="B21" s="93" t="s">
        <v>39</v>
      </c>
      <c r="C21" s="94">
        <f t="shared" ref="C21" si="2">C7/C22*100</f>
        <v>100.07650765529183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3228.4351031000001</v>
      </c>
    </row>
    <row r="23" spans="1:3" ht="20.25" x14ac:dyDescent="0.3">
      <c r="A23" s="72">
        <v>2</v>
      </c>
      <c r="B23" s="76" t="s">
        <v>29</v>
      </c>
      <c r="C23" s="78">
        <f>25.73*9.55*12</f>
        <v>2948.6580000000004</v>
      </c>
    </row>
    <row r="24" spans="1:3" ht="20.25" x14ac:dyDescent="0.3">
      <c r="A24" s="72">
        <v>3</v>
      </c>
      <c r="B24" s="79" t="s">
        <v>30</v>
      </c>
      <c r="C24" s="80">
        <v>209.06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70.717103100000003</v>
      </c>
    </row>
    <row r="26" spans="1:3" x14ac:dyDescent="0.25">
      <c r="A26" s="81"/>
      <c r="B26" s="82" t="s">
        <v>32</v>
      </c>
      <c r="C26" s="70">
        <f>0.06691*25.73*17</f>
        <v>29.2671031</v>
      </c>
    </row>
    <row r="27" spans="1:3" x14ac:dyDescent="0.25">
      <c r="A27" s="81"/>
      <c r="B27" s="82" t="s">
        <v>33</v>
      </c>
      <c r="C27" s="70">
        <v>14.25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20.86</v>
      </c>
    </row>
    <row r="30" spans="1:3" x14ac:dyDescent="0.25">
      <c r="A30" s="81"/>
      <c r="B30" s="88" t="s">
        <v>36</v>
      </c>
      <c r="C30" s="70">
        <v>1.84</v>
      </c>
    </row>
    <row r="31" spans="1:3" x14ac:dyDescent="0.25">
      <c r="A31" s="81"/>
      <c r="B31" s="82" t="s">
        <v>37</v>
      </c>
      <c r="C31" s="70">
        <v>3</v>
      </c>
    </row>
    <row r="32" spans="1:3" x14ac:dyDescent="0.25">
      <c r="A32" s="90"/>
      <c r="B32" s="88" t="s">
        <v>38</v>
      </c>
      <c r="C32" s="70">
        <v>1.5</v>
      </c>
    </row>
    <row r="33" spans="1:3" x14ac:dyDescent="0.25">
      <c r="A33" s="90"/>
      <c r="B33" s="82" t="s">
        <v>95</v>
      </c>
      <c r="C33" s="70">
        <v>1.93</v>
      </c>
    </row>
    <row r="34" spans="1:3" x14ac:dyDescent="0.25">
      <c r="A34" s="98"/>
      <c r="B34" s="99" t="s">
        <v>41</v>
      </c>
      <c r="C34" s="80">
        <f t="shared" ref="C34" si="5">C35+C62+C81+C83+C84</f>
        <v>2654.5070000000005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1760.5629999999999</v>
      </c>
    </row>
    <row r="36" spans="1:3" x14ac:dyDescent="0.25">
      <c r="A36" s="100">
        <v>2</v>
      </c>
      <c r="B36" s="76" t="s">
        <v>43</v>
      </c>
      <c r="C36" s="51">
        <v>539.23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799.23</v>
      </c>
    </row>
    <row r="39" spans="1:3" x14ac:dyDescent="0.25">
      <c r="A39" s="100">
        <v>5</v>
      </c>
      <c r="B39" s="102" t="s">
        <v>46</v>
      </c>
      <c r="C39" s="51">
        <v>192.25</v>
      </c>
    </row>
    <row r="40" spans="1:3" ht="31.5" x14ac:dyDescent="0.25">
      <c r="A40" s="100">
        <v>6</v>
      </c>
      <c r="B40" s="102" t="s">
        <v>47</v>
      </c>
      <c r="C40" s="51">
        <v>33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131.94300000000001</v>
      </c>
    </row>
    <row r="42" spans="1:3" x14ac:dyDescent="0.25">
      <c r="A42" s="100"/>
      <c r="B42" s="88" t="s">
        <v>49</v>
      </c>
      <c r="C42" s="51">
        <f>57.378+38.355-37.19</f>
        <v>58.543000000000006</v>
      </c>
    </row>
    <row r="43" spans="1:3" x14ac:dyDescent="0.25">
      <c r="A43" s="100"/>
      <c r="B43" s="88" t="s">
        <v>91</v>
      </c>
      <c r="C43" s="51">
        <f>31.59</f>
        <v>31.59</v>
      </c>
    </row>
    <row r="44" spans="1:3" x14ac:dyDescent="0.25">
      <c r="A44" s="81"/>
      <c r="B44" s="88" t="s">
        <v>78</v>
      </c>
      <c r="C44" s="51">
        <v>41.81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48.330000000000005</v>
      </c>
    </row>
    <row r="49" spans="1:3" x14ac:dyDescent="0.25">
      <c r="A49" s="100"/>
      <c r="B49" s="106" t="s">
        <v>52</v>
      </c>
      <c r="C49" s="51">
        <v>12.83</v>
      </c>
    </row>
    <row r="50" spans="1:3" x14ac:dyDescent="0.25">
      <c r="A50" s="100"/>
      <c r="B50" s="106" t="s">
        <v>53</v>
      </c>
      <c r="C50" s="51">
        <v>3.78</v>
      </c>
    </row>
    <row r="51" spans="1:3" x14ac:dyDescent="0.25">
      <c r="A51" s="100"/>
      <c r="B51" s="106" t="s">
        <v>54</v>
      </c>
      <c r="C51" s="51">
        <v>9.6999999999999993</v>
      </c>
    </row>
    <row r="52" spans="1:3" x14ac:dyDescent="0.25">
      <c r="A52" s="100"/>
      <c r="B52" s="106" t="s">
        <v>55</v>
      </c>
      <c r="C52" s="51">
        <v>9.11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2.96</v>
      </c>
    </row>
    <row r="55" spans="1:3" x14ac:dyDescent="0.25">
      <c r="A55" s="100"/>
      <c r="B55" s="88" t="s">
        <v>96</v>
      </c>
      <c r="C55" s="51">
        <v>8.61</v>
      </c>
    </row>
    <row r="56" spans="1:3" x14ac:dyDescent="0.25">
      <c r="A56" s="100"/>
      <c r="B56" s="88" t="s">
        <v>97</v>
      </c>
      <c r="C56" s="51">
        <v>1.34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5.86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16.579999999999998</v>
      </c>
    </row>
    <row r="60" spans="1:3" x14ac:dyDescent="0.25">
      <c r="A60" s="100"/>
      <c r="B60" s="82" t="s">
        <v>58</v>
      </c>
      <c r="C60" s="51">
        <v>11.68</v>
      </c>
    </row>
    <row r="61" spans="1:3" x14ac:dyDescent="0.25">
      <c r="A61" s="100"/>
      <c r="B61" s="82" t="s">
        <v>59</v>
      </c>
      <c r="C61" s="51">
        <v>4.9000000000000004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578.30400000000009</v>
      </c>
    </row>
    <row r="63" spans="1:3" x14ac:dyDescent="0.25">
      <c r="A63" s="100">
        <v>11</v>
      </c>
      <c r="B63" s="76" t="s">
        <v>61</v>
      </c>
      <c r="C63" s="51">
        <v>126.71</v>
      </c>
    </row>
    <row r="64" spans="1:3" x14ac:dyDescent="0.25">
      <c r="A64" s="100">
        <v>12</v>
      </c>
      <c r="B64" s="108" t="s">
        <v>62</v>
      </c>
      <c r="C64" s="51">
        <v>335.36700000000002</v>
      </c>
    </row>
    <row r="65" spans="1:3" x14ac:dyDescent="0.25">
      <c r="A65" s="100">
        <v>13</v>
      </c>
      <c r="B65" s="108" t="s">
        <v>46</v>
      </c>
      <c r="C65" s="51">
        <v>79.010000000000005</v>
      </c>
    </row>
    <row r="66" spans="1:3" x14ac:dyDescent="0.25">
      <c r="A66" s="100">
        <v>14</v>
      </c>
      <c r="B66" s="103" t="s">
        <v>63</v>
      </c>
      <c r="C66" s="80">
        <f t="shared" ref="C66" si="11">C68</f>
        <v>5.1470000000000002</v>
      </c>
    </row>
    <row r="67" spans="1:3" x14ac:dyDescent="0.25">
      <c r="A67" s="109"/>
      <c r="B67" s="106" t="s">
        <v>99</v>
      </c>
      <c r="C67" s="51">
        <v>10.75</v>
      </c>
    </row>
    <row r="68" spans="1:3" x14ac:dyDescent="0.25">
      <c r="A68" s="100"/>
      <c r="B68" s="108" t="s">
        <v>64</v>
      </c>
      <c r="C68" s="51">
        <v>5.1470000000000002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32.07</v>
      </c>
    </row>
    <row r="70" spans="1:3" x14ac:dyDescent="0.25">
      <c r="A70" s="100"/>
      <c r="B70" s="82" t="s">
        <v>66</v>
      </c>
      <c r="C70" s="51">
        <v>0.5</v>
      </c>
    </row>
    <row r="71" spans="1:3" x14ac:dyDescent="0.25">
      <c r="A71" s="100"/>
      <c r="B71" s="82" t="s">
        <v>67</v>
      </c>
      <c r="C71" s="51">
        <v>8.82</v>
      </c>
    </row>
    <row r="72" spans="1:3" x14ac:dyDescent="0.25">
      <c r="A72" s="100"/>
      <c r="B72" s="82" t="s">
        <v>68</v>
      </c>
      <c r="C72" s="51">
        <v>4.38</v>
      </c>
    </row>
    <row r="73" spans="1:3" x14ac:dyDescent="0.25">
      <c r="A73" s="112"/>
      <c r="B73" s="82" t="s">
        <v>69</v>
      </c>
      <c r="C73" s="51">
        <v>3.64</v>
      </c>
    </row>
    <row r="74" spans="1:3" x14ac:dyDescent="0.25">
      <c r="A74" s="112"/>
      <c r="B74" s="82" t="s">
        <v>70</v>
      </c>
      <c r="C74" s="87">
        <v>0.45</v>
      </c>
    </row>
    <row r="75" spans="1:3" x14ac:dyDescent="0.25">
      <c r="A75" s="112"/>
      <c r="B75" s="82" t="s">
        <v>71</v>
      </c>
      <c r="C75" s="87">
        <v>1.23</v>
      </c>
    </row>
    <row r="76" spans="1:3" x14ac:dyDescent="0.25">
      <c r="A76" s="112"/>
      <c r="B76" s="82" t="s">
        <v>72</v>
      </c>
      <c r="C76" s="87">
        <v>0.63</v>
      </c>
    </row>
    <row r="77" spans="1:3" x14ac:dyDescent="0.25">
      <c r="A77" s="100"/>
      <c r="B77" s="82" t="s">
        <v>98</v>
      </c>
      <c r="C77" s="51">
        <v>6.07</v>
      </c>
    </row>
    <row r="78" spans="1:3" x14ac:dyDescent="0.25">
      <c r="A78" s="100"/>
      <c r="B78" s="82" t="s">
        <v>73</v>
      </c>
      <c r="C78" s="51">
        <v>0.24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5.53</v>
      </c>
    </row>
    <row r="81" spans="1:3" x14ac:dyDescent="0.25">
      <c r="A81" s="114"/>
      <c r="B81" s="82" t="s">
        <v>75</v>
      </c>
      <c r="C81" s="51">
        <v>85.78</v>
      </c>
    </row>
    <row r="82" spans="1:3" x14ac:dyDescent="0.25">
      <c r="A82" s="114"/>
      <c r="B82" s="108" t="s">
        <v>76</v>
      </c>
      <c r="C82" s="51">
        <v>0.56000000000000005</v>
      </c>
    </row>
    <row r="83" spans="1:3" x14ac:dyDescent="0.25">
      <c r="A83" s="115">
        <v>18</v>
      </c>
      <c r="B83" s="102" t="s">
        <v>77</v>
      </c>
      <c r="C83" s="51">
        <v>43.9</v>
      </c>
    </row>
    <row r="84" spans="1:3" ht="18" x14ac:dyDescent="0.25">
      <c r="A84" s="116">
        <v>19</v>
      </c>
      <c r="B84" s="79" t="s">
        <v>30</v>
      </c>
      <c r="C84" s="117">
        <v>185.96</v>
      </c>
    </row>
    <row r="85" spans="1:3" ht="18" x14ac:dyDescent="0.25">
      <c r="A85" s="118"/>
      <c r="B85" s="119" t="s">
        <v>105</v>
      </c>
      <c r="C85" s="120">
        <f t="shared" ref="C85" si="13">C22-C34</f>
        <v>573.92810309999959</v>
      </c>
    </row>
    <row r="86" spans="1:3" x14ac:dyDescent="0.25">
      <c r="A86" s="60"/>
      <c r="B86" s="61" t="s">
        <v>92</v>
      </c>
      <c r="C86" s="80">
        <v>444.3</v>
      </c>
    </row>
    <row r="87" spans="1:3" x14ac:dyDescent="0.25">
      <c r="C87" s="86"/>
    </row>
  </sheetData>
  <pageMargins left="0.7" right="0.7" top="0.35" bottom="0.75" header="0.3" footer="0.3"/>
  <pageSetup paperSize="9" scale="49" orientation="portrait" verticalDpi="300" r:id="rId1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J87" sqref="J87"/>
    </sheetView>
  </sheetViews>
  <sheetFormatPr defaultRowHeight="15.75" x14ac:dyDescent="0.25"/>
  <cols>
    <col min="1" max="1" width="6.85546875" style="52" customWidth="1"/>
    <col min="2" max="2" width="66.7109375" style="55" customWidth="1"/>
    <col min="3" max="3" width="49.7109375" style="55" customWidth="1"/>
  </cols>
  <sheetData>
    <row r="1" spans="1:3" ht="31.5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4" t="s">
        <v>22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4.99</v>
      </c>
    </row>
    <row r="6" spans="1:3" ht="31.5" x14ac:dyDescent="0.25">
      <c r="A6" s="67"/>
      <c r="B6" s="68" t="s">
        <v>89</v>
      </c>
      <c r="C6" s="70">
        <v>349.32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1688.7310017000004</v>
      </c>
    </row>
    <row r="8" spans="1:3" ht="20.25" x14ac:dyDescent="0.3">
      <c r="A8" s="72">
        <v>2</v>
      </c>
      <c r="B8" s="76" t="s">
        <v>29</v>
      </c>
      <c r="C8" s="78">
        <f>25.73*4.99*12</f>
        <v>1540.7124000000003</v>
      </c>
    </row>
    <row r="9" spans="1:3" ht="20.25" x14ac:dyDescent="0.3">
      <c r="A9" s="72">
        <v>3</v>
      </c>
      <c r="B9" s="79" t="s">
        <v>30</v>
      </c>
      <c r="C9" s="80">
        <v>108.95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39.068601700000002</v>
      </c>
    </row>
    <row r="11" spans="1:3" x14ac:dyDescent="0.25">
      <c r="A11" s="81"/>
      <c r="B11" s="82" t="s">
        <v>32</v>
      </c>
      <c r="C11" s="70">
        <f>0.03637*25.73*17</f>
        <v>15.9086017</v>
      </c>
    </row>
    <row r="12" spans="1:3" x14ac:dyDescent="0.25">
      <c r="A12" s="81"/>
      <c r="B12" s="82" t="s">
        <v>33</v>
      </c>
      <c r="C12" s="70">
        <v>7.45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12.32</v>
      </c>
    </row>
    <row r="15" spans="1:3" x14ac:dyDescent="0.25">
      <c r="A15" s="81"/>
      <c r="B15" s="88" t="s">
        <v>36</v>
      </c>
      <c r="C15" s="70">
        <v>1.29</v>
      </c>
    </row>
    <row r="16" spans="1:3" x14ac:dyDescent="0.25">
      <c r="A16" s="81"/>
      <c r="B16" s="82" t="s">
        <v>37</v>
      </c>
      <c r="C16" s="70">
        <v>0.6</v>
      </c>
    </row>
    <row r="17" spans="1:3" x14ac:dyDescent="0.25">
      <c r="A17" s="89"/>
      <c r="B17" s="82" t="s">
        <v>95</v>
      </c>
      <c r="C17" s="70">
        <v>2.7</v>
      </c>
    </row>
    <row r="18" spans="1:3" x14ac:dyDescent="0.25">
      <c r="A18" s="90"/>
      <c r="B18" s="88" t="s">
        <v>38</v>
      </c>
      <c r="C18" s="70">
        <v>1.5</v>
      </c>
    </row>
    <row r="19" spans="1:3" x14ac:dyDescent="0.25">
      <c r="A19" s="90"/>
      <c r="B19" s="88" t="s">
        <v>101</v>
      </c>
      <c r="C19" s="70">
        <v>4.59</v>
      </c>
    </row>
    <row r="20" spans="1:3" x14ac:dyDescent="0.25">
      <c r="A20" s="90"/>
      <c r="B20" s="88" t="s">
        <v>102</v>
      </c>
      <c r="C20" s="70">
        <v>3.25</v>
      </c>
    </row>
    <row r="21" spans="1:3" ht="18.75" x14ac:dyDescent="0.25">
      <c r="A21" s="92"/>
      <c r="B21" s="93" t="s">
        <v>39</v>
      </c>
      <c r="C21" s="94">
        <f t="shared" ref="C21" si="2">C7/C22*100</f>
        <v>100.08653026090823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1687.2710017000004</v>
      </c>
    </row>
    <row r="23" spans="1:3" ht="20.25" x14ac:dyDescent="0.3">
      <c r="A23" s="72">
        <v>2</v>
      </c>
      <c r="B23" s="76" t="s">
        <v>29</v>
      </c>
      <c r="C23" s="78">
        <f>25.73*4.99*12</f>
        <v>1540.7124000000003</v>
      </c>
    </row>
    <row r="24" spans="1:3" ht="20.25" x14ac:dyDescent="0.3">
      <c r="A24" s="72">
        <v>3</v>
      </c>
      <c r="B24" s="79" t="s">
        <v>30</v>
      </c>
      <c r="C24" s="80">
        <v>109.24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37.318601700000002</v>
      </c>
    </row>
    <row r="26" spans="1:3" x14ac:dyDescent="0.25">
      <c r="A26" s="81"/>
      <c r="B26" s="82" t="s">
        <v>32</v>
      </c>
      <c r="C26" s="70">
        <f>0.03637*25.73*17</f>
        <v>15.9086017</v>
      </c>
    </row>
    <row r="27" spans="1:3" x14ac:dyDescent="0.25">
      <c r="A27" s="81"/>
      <c r="B27" s="82" t="s">
        <v>33</v>
      </c>
      <c r="C27" s="70">
        <v>7.45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10.9</v>
      </c>
    </row>
    <row r="30" spans="1:3" x14ac:dyDescent="0.25">
      <c r="A30" s="81"/>
      <c r="B30" s="88" t="s">
        <v>36</v>
      </c>
      <c r="C30" s="70">
        <v>0.96</v>
      </c>
    </row>
    <row r="31" spans="1:3" x14ac:dyDescent="0.25">
      <c r="A31" s="81"/>
      <c r="B31" s="82" t="s">
        <v>37</v>
      </c>
      <c r="C31" s="70">
        <v>0.6</v>
      </c>
    </row>
    <row r="32" spans="1:3" x14ac:dyDescent="0.25">
      <c r="A32" s="90"/>
      <c r="B32" s="88" t="s">
        <v>38</v>
      </c>
      <c r="C32" s="70">
        <v>1.5</v>
      </c>
    </row>
    <row r="33" spans="1:3" x14ac:dyDescent="0.25">
      <c r="A33" s="90"/>
      <c r="B33" s="82" t="s">
        <v>95</v>
      </c>
      <c r="C33" s="70">
        <v>1.04</v>
      </c>
    </row>
    <row r="34" spans="1:3" x14ac:dyDescent="0.25">
      <c r="A34" s="98"/>
      <c r="B34" s="99" t="s">
        <v>41</v>
      </c>
      <c r="C34" s="80">
        <f>C35+C62+C81+C83+C84</f>
        <v>1339.43</v>
      </c>
    </row>
    <row r="35" spans="1:3" ht="20.25" x14ac:dyDescent="0.25">
      <c r="A35" s="100">
        <v>1</v>
      </c>
      <c r="B35" s="101" t="s">
        <v>42</v>
      </c>
      <c r="C35" s="80">
        <f t="shared" ref="C35" si="5">C36+C38+C39+C40+C41+C48+C59</f>
        <v>871.82999999999993</v>
      </c>
    </row>
    <row r="36" spans="1:3" x14ac:dyDescent="0.25">
      <c r="A36" s="100">
        <v>2</v>
      </c>
      <c r="B36" s="76" t="s">
        <v>43</v>
      </c>
      <c r="C36" s="51">
        <v>281.76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417.61</v>
      </c>
    </row>
    <row r="39" spans="1:3" x14ac:dyDescent="0.25">
      <c r="A39" s="100">
        <v>5</v>
      </c>
      <c r="B39" s="102" t="s">
        <v>46</v>
      </c>
      <c r="C39" s="51">
        <v>100.45</v>
      </c>
    </row>
    <row r="40" spans="1:3" ht="31.5" x14ac:dyDescent="0.25">
      <c r="A40" s="100">
        <v>6</v>
      </c>
      <c r="B40" s="102" t="s">
        <v>47</v>
      </c>
      <c r="C40" s="51">
        <v>17.239999999999998</v>
      </c>
    </row>
    <row r="41" spans="1:3" x14ac:dyDescent="0.25">
      <c r="A41" s="100">
        <v>7</v>
      </c>
      <c r="B41" s="103" t="s">
        <v>48</v>
      </c>
      <c r="C41" s="80">
        <f t="shared" ref="C41" si="6">C42+C43+C44+C45+C46+C47</f>
        <v>21.8</v>
      </c>
    </row>
    <row r="42" spans="1:3" x14ac:dyDescent="0.25">
      <c r="A42" s="100"/>
      <c r="B42" s="88" t="s">
        <v>49</v>
      </c>
      <c r="C42" s="51"/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21.8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7">C49+C50+C51+C52+C53+C54+C55+C56</f>
        <v>23.67</v>
      </c>
    </row>
    <row r="49" spans="1:3" x14ac:dyDescent="0.25">
      <c r="A49" s="100"/>
      <c r="B49" s="106" t="s">
        <v>52</v>
      </c>
      <c r="C49" s="51">
        <v>6.7</v>
      </c>
    </row>
    <row r="50" spans="1:3" x14ac:dyDescent="0.25">
      <c r="A50" s="100"/>
      <c r="B50" s="106" t="s">
        <v>53</v>
      </c>
      <c r="C50" s="51">
        <v>1.97</v>
      </c>
    </row>
    <row r="51" spans="1:3" x14ac:dyDescent="0.25">
      <c r="A51" s="100"/>
      <c r="B51" s="106" t="s">
        <v>54</v>
      </c>
      <c r="C51" s="51">
        <v>3.5</v>
      </c>
    </row>
    <row r="52" spans="1:3" x14ac:dyDescent="0.25">
      <c r="A52" s="100"/>
      <c r="B52" s="106" t="s">
        <v>55</v>
      </c>
      <c r="C52" s="51">
        <v>4.75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1.55</v>
      </c>
    </row>
    <row r="55" spans="1:3" x14ac:dyDescent="0.25">
      <c r="A55" s="100"/>
      <c r="B55" s="88" t="s">
        <v>96</v>
      </c>
      <c r="C55" s="51">
        <v>4.5</v>
      </c>
    </row>
    <row r="56" spans="1:3" x14ac:dyDescent="0.25">
      <c r="A56" s="100"/>
      <c r="B56" s="88" t="s">
        <v>97</v>
      </c>
      <c r="C56" s="51">
        <v>0.7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3.06</v>
      </c>
    </row>
    <row r="59" spans="1:3" x14ac:dyDescent="0.25">
      <c r="A59" s="100">
        <v>9</v>
      </c>
      <c r="B59" s="102" t="s">
        <v>57</v>
      </c>
      <c r="C59" s="107">
        <f t="shared" ref="C59" si="8">C60+C61</f>
        <v>9.3000000000000007</v>
      </c>
    </row>
    <row r="60" spans="1:3" x14ac:dyDescent="0.25">
      <c r="A60" s="100"/>
      <c r="B60" s="82" t="s">
        <v>58</v>
      </c>
      <c r="C60" s="51">
        <v>6.1</v>
      </c>
    </row>
    <row r="61" spans="1:3" x14ac:dyDescent="0.25">
      <c r="A61" s="100"/>
      <c r="B61" s="82" t="s">
        <v>59</v>
      </c>
      <c r="C61" s="51">
        <v>3.2</v>
      </c>
    </row>
    <row r="62" spans="1:3" x14ac:dyDescent="0.25">
      <c r="A62" s="100">
        <v>10</v>
      </c>
      <c r="B62" s="76" t="s">
        <v>60</v>
      </c>
      <c r="C62" s="80">
        <f t="shared" ref="C62" si="9">C63+C64+C65+C66+C69</f>
        <v>302.39000000000004</v>
      </c>
    </row>
    <row r="63" spans="1:3" x14ac:dyDescent="0.25">
      <c r="A63" s="100">
        <v>11</v>
      </c>
      <c r="B63" s="76" t="s">
        <v>61</v>
      </c>
      <c r="C63" s="51">
        <v>66.209999999999994</v>
      </c>
    </row>
    <row r="64" spans="1:3" x14ac:dyDescent="0.25">
      <c r="A64" s="100">
        <v>12</v>
      </c>
      <c r="B64" s="108" t="s">
        <v>62</v>
      </c>
      <c r="C64" s="51">
        <v>175.23</v>
      </c>
    </row>
    <row r="65" spans="1:3" x14ac:dyDescent="0.25">
      <c r="A65" s="100">
        <v>13</v>
      </c>
      <c r="B65" s="108" t="s">
        <v>46</v>
      </c>
      <c r="C65" s="51">
        <v>41.28</v>
      </c>
    </row>
    <row r="66" spans="1:3" x14ac:dyDescent="0.25">
      <c r="A66" s="100">
        <v>14</v>
      </c>
      <c r="B66" s="103" t="s">
        <v>63</v>
      </c>
      <c r="C66" s="80">
        <f t="shared" ref="C66" si="10">C68</f>
        <v>2.86</v>
      </c>
    </row>
    <row r="67" spans="1:3" x14ac:dyDescent="0.25">
      <c r="A67" s="109"/>
      <c r="B67" s="106" t="s">
        <v>99</v>
      </c>
      <c r="C67" s="51">
        <v>5.62</v>
      </c>
    </row>
    <row r="68" spans="1:3" x14ac:dyDescent="0.25">
      <c r="A68" s="100"/>
      <c r="B68" s="108" t="s">
        <v>64</v>
      </c>
      <c r="C68" s="51">
        <v>2.86</v>
      </c>
    </row>
    <row r="69" spans="1:3" x14ac:dyDescent="0.25">
      <c r="A69" s="100">
        <v>15</v>
      </c>
      <c r="B69" s="79" t="s">
        <v>65</v>
      </c>
      <c r="C69" s="80">
        <f>C70+C71+C72+C73+C74+C75+C76+C77+C78+C79+C80+C82</f>
        <v>16.809999999999999</v>
      </c>
    </row>
    <row r="70" spans="1:3" x14ac:dyDescent="0.25">
      <c r="A70" s="100"/>
      <c r="B70" s="82" t="s">
        <v>66</v>
      </c>
      <c r="C70" s="51">
        <v>0.28000000000000003</v>
      </c>
    </row>
    <row r="71" spans="1:3" x14ac:dyDescent="0.25">
      <c r="A71" s="100"/>
      <c r="B71" s="82" t="s">
        <v>67</v>
      </c>
      <c r="C71" s="51">
        <v>4.6100000000000003</v>
      </c>
    </row>
    <row r="72" spans="1:3" x14ac:dyDescent="0.25">
      <c r="A72" s="100"/>
      <c r="B72" s="82" t="s">
        <v>68</v>
      </c>
      <c r="C72" s="51">
        <v>2.29</v>
      </c>
    </row>
    <row r="73" spans="1:3" x14ac:dyDescent="0.25">
      <c r="A73" s="112"/>
      <c r="B73" s="82" t="s">
        <v>69</v>
      </c>
      <c r="C73" s="51">
        <v>1.9</v>
      </c>
    </row>
    <row r="74" spans="1:3" x14ac:dyDescent="0.25">
      <c r="A74" s="112"/>
      <c r="B74" s="82" t="s">
        <v>70</v>
      </c>
      <c r="C74" s="87">
        <v>0.24</v>
      </c>
    </row>
    <row r="75" spans="1:3" x14ac:dyDescent="0.25">
      <c r="A75" s="112"/>
      <c r="B75" s="82" t="s">
        <v>71</v>
      </c>
      <c r="C75" s="87">
        <v>0.64</v>
      </c>
    </row>
    <row r="76" spans="1:3" x14ac:dyDescent="0.25">
      <c r="A76" s="112"/>
      <c r="B76" s="82" t="s">
        <v>72</v>
      </c>
      <c r="C76" s="87">
        <v>0.33</v>
      </c>
    </row>
    <row r="77" spans="1:3" x14ac:dyDescent="0.25">
      <c r="A77" s="100"/>
      <c r="B77" s="82" t="s">
        <v>98</v>
      </c>
      <c r="C77" s="51">
        <v>3.17</v>
      </c>
    </row>
    <row r="78" spans="1:3" x14ac:dyDescent="0.25">
      <c r="A78" s="100"/>
      <c r="B78" s="82" t="s">
        <v>73</v>
      </c>
      <c r="C78" s="51">
        <v>0.15</v>
      </c>
    </row>
    <row r="79" spans="1:3" x14ac:dyDescent="0.25">
      <c r="A79" s="100"/>
      <c r="B79" s="82" t="s">
        <v>100</v>
      </c>
      <c r="C79" s="51">
        <v>0.02</v>
      </c>
    </row>
    <row r="80" spans="1:3" x14ac:dyDescent="0.25">
      <c r="A80" s="113"/>
      <c r="B80" s="82" t="s">
        <v>74</v>
      </c>
      <c r="C80" s="51">
        <v>2.89</v>
      </c>
    </row>
    <row r="81" spans="1:3" x14ac:dyDescent="0.25">
      <c r="A81" s="114"/>
      <c r="B81" s="82" t="s">
        <v>75</v>
      </c>
      <c r="C81" s="51">
        <v>44.82</v>
      </c>
    </row>
    <row r="82" spans="1:3" x14ac:dyDescent="0.25">
      <c r="A82" s="114"/>
      <c r="B82" s="108" t="s">
        <v>76</v>
      </c>
      <c r="C82" s="51">
        <v>0.28999999999999998</v>
      </c>
    </row>
    <row r="83" spans="1:3" x14ac:dyDescent="0.25">
      <c r="A83" s="115">
        <v>18</v>
      </c>
      <c r="B83" s="102" t="s">
        <v>77</v>
      </c>
      <c r="C83" s="51">
        <v>23</v>
      </c>
    </row>
    <row r="84" spans="1:3" ht="18" x14ac:dyDescent="0.25">
      <c r="A84" s="116">
        <v>19</v>
      </c>
      <c r="B84" s="79" t="s">
        <v>30</v>
      </c>
      <c r="C84" s="117">
        <v>97.39</v>
      </c>
    </row>
    <row r="85" spans="1:3" ht="29.25" x14ac:dyDescent="0.25">
      <c r="A85" s="118"/>
      <c r="B85" s="119" t="s">
        <v>105</v>
      </c>
      <c r="C85" s="120">
        <f t="shared" ref="C85" si="11">C22-C34</f>
        <v>347.84100170000033</v>
      </c>
    </row>
    <row r="86" spans="1:3" ht="31.5" x14ac:dyDescent="0.25">
      <c r="A86" s="60"/>
      <c r="B86" s="61" t="s">
        <v>92</v>
      </c>
      <c r="C86" s="80">
        <v>347.74</v>
      </c>
    </row>
    <row r="87" spans="1:3" x14ac:dyDescent="0.25">
      <c r="C87" s="86"/>
    </row>
  </sheetData>
  <pageMargins left="0.7" right="0.7" top="0.28999999999999998" bottom="0.28999999999999998" header="0.3" footer="0.3"/>
  <pageSetup paperSize="9" scale="45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H98" sqref="H98"/>
    </sheetView>
  </sheetViews>
  <sheetFormatPr defaultRowHeight="15.75" x14ac:dyDescent="0.25"/>
  <cols>
    <col min="1" max="1" width="6.85546875" style="52" customWidth="1"/>
    <col min="2" max="2" width="69" style="55" customWidth="1"/>
    <col min="3" max="3" width="28.2851562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23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5.8</v>
      </c>
    </row>
    <row r="6" spans="1:3" ht="31.5" x14ac:dyDescent="0.25">
      <c r="A6" s="67"/>
      <c r="B6" s="68" t="s">
        <v>89</v>
      </c>
      <c r="C6" s="70">
        <v>256.25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1945.3880000000001</v>
      </c>
    </row>
    <row r="8" spans="1:3" ht="20.25" x14ac:dyDescent="0.3">
      <c r="A8" s="72">
        <v>2</v>
      </c>
      <c r="B8" s="76" t="s">
        <v>29</v>
      </c>
      <c r="C8" s="78">
        <f>25.73*5.8*12</f>
        <v>1790.808</v>
      </c>
    </row>
    <row r="9" spans="1:3" ht="20.25" x14ac:dyDescent="0.3">
      <c r="A9" s="72">
        <v>3</v>
      </c>
      <c r="B9" s="79" t="s">
        <v>30</v>
      </c>
      <c r="C9" s="80">
        <v>126.64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27.94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8.65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14.32</v>
      </c>
    </row>
    <row r="15" spans="1:3" x14ac:dyDescent="0.25">
      <c r="A15" s="81"/>
      <c r="B15" s="88" t="s">
        <v>36</v>
      </c>
      <c r="C15" s="70">
        <v>2.17</v>
      </c>
    </row>
    <row r="16" spans="1:3" x14ac:dyDescent="0.25">
      <c r="A16" s="81"/>
      <c r="B16" s="82" t="s">
        <v>37</v>
      </c>
      <c r="C16" s="70">
        <v>1.8</v>
      </c>
    </row>
    <row r="17" spans="1:3" x14ac:dyDescent="0.25">
      <c r="A17" s="89"/>
      <c r="B17" s="82" t="s">
        <v>95</v>
      </c>
      <c r="C17" s="70">
        <v>3.1</v>
      </c>
    </row>
    <row r="18" spans="1:3" x14ac:dyDescent="0.25">
      <c r="A18" s="90"/>
      <c r="B18" s="88" t="s">
        <v>38</v>
      </c>
      <c r="C18" s="70">
        <v>1</v>
      </c>
    </row>
    <row r="19" spans="1:3" x14ac:dyDescent="0.25">
      <c r="A19" s="90"/>
      <c r="B19" s="88" t="s">
        <v>101</v>
      </c>
      <c r="C19" s="70">
        <v>5.34</v>
      </c>
    </row>
    <row r="20" spans="1:3" x14ac:dyDescent="0.25">
      <c r="A20" s="90"/>
      <c r="B20" s="88" t="s">
        <v>102</v>
      </c>
      <c r="C20" s="70">
        <v>2.34</v>
      </c>
    </row>
    <row r="21" spans="1:3" ht="18.75" x14ac:dyDescent="0.25">
      <c r="A21" s="92"/>
      <c r="B21" s="93" t="s">
        <v>39</v>
      </c>
      <c r="C21" s="94">
        <f t="shared" ref="C21" si="2">C7/C22*100</f>
        <v>100.1224904889738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1943.008</v>
      </c>
    </row>
    <row r="23" spans="1:3" ht="20.25" x14ac:dyDescent="0.3">
      <c r="A23" s="72">
        <v>2</v>
      </c>
      <c r="B23" s="76" t="s">
        <v>29</v>
      </c>
      <c r="C23" s="78">
        <f>25.73*5.8*12</f>
        <v>1790.808</v>
      </c>
    </row>
    <row r="24" spans="1:3" ht="20.25" x14ac:dyDescent="0.3">
      <c r="A24" s="72">
        <v>3</v>
      </c>
      <c r="B24" s="79" t="s">
        <v>30</v>
      </c>
      <c r="C24" s="80">
        <v>126.97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25.23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8.65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12.67</v>
      </c>
    </row>
    <row r="30" spans="1:3" x14ac:dyDescent="0.25">
      <c r="A30" s="81"/>
      <c r="B30" s="88" t="s">
        <v>36</v>
      </c>
      <c r="C30" s="70">
        <v>1.1100000000000001</v>
      </c>
    </row>
    <row r="31" spans="1:3" x14ac:dyDescent="0.25">
      <c r="A31" s="81"/>
      <c r="B31" s="82" t="s">
        <v>37</v>
      </c>
      <c r="C31" s="70">
        <v>1.8</v>
      </c>
    </row>
    <row r="32" spans="1:3" x14ac:dyDescent="0.25">
      <c r="A32" s="90"/>
      <c r="B32" s="88" t="s">
        <v>38</v>
      </c>
      <c r="C32" s="70">
        <v>1</v>
      </c>
    </row>
    <row r="33" spans="1:3" x14ac:dyDescent="0.25">
      <c r="A33" s="90"/>
      <c r="B33" s="82" t="s">
        <v>95</v>
      </c>
      <c r="C33" s="70">
        <v>1.17</v>
      </c>
    </row>
    <row r="34" spans="1:3" x14ac:dyDescent="0.25">
      <c r="A34" s="98"/>
      <c r="B34" s="99" t="s">
        <v>41</v>
      </c>
      <c r="C34" s="80">
        <f t="shared" ref="C34" si="5">C35+C62+C81+C83+C84</f>
        <v>2001.0240000000001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1457.934</v>
      </c>
    </row>
    <row r="36" spans="1:3" x14ac:dyDescent="0.25">
      <c r="A36" s="100">
        <v>2</v>
      </c>
      <c r="B36" s="76" t="s">
        <v>43</v>
      </c>
      <c r="C36" s="51">
        <v>327.49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485.4</v>
      </c>
    </row>
    <row r="39" spans="1:3" x14ac:dyDescent="0.25">
      <c r="A39" s="100">
        <v>5</v>
      </c>
      <c r="B39" s="102" t="s">
        <v>46</v>
      </c>
      <c r="C39" s="51">
        <v>116.76</v>
      </c>
    </row>
    <row r="40" spans="1:3" ht="31.5" x14ac:dyDescent="0.25">
      <c r="A40" s="100">
        <v>6</v>
      </c>
      <c r="B40" s="102" t="s">
        <v>47</v>
      </c>
      <c r="C40" s="51">
        <v>20.25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471.28399999999999</v>
      </c>
    </row>
    <row r="42" spans="1:3" x14ac:dyDescent="0.25">
      <c r="A42" s="100"/>
      <c r="B42" s="88" t="s">
        <v>49</v>
      </c>
      <c r="C42" s="51">
        <f>30.07+18.074-37.19</f>
        <v>10.954000000000008</v>
      </c>
    </row>
    <row r="43" spans="1:3" x14ac:dyDescent="0.25">
      <c r="A43" s="100"/>
      <c r="B43" s="88" t="s">
        <v>91</v>
      </c>
      <c r="C43" s="51"/>
    </row>
    <row r="44" spans="1:3" x14ac:dyDescent="0.25">
      <c r="A44" s="81"/>
      <c r="B44" s="88" t="s">
        <v>78</v>
      </c>
      <c r="C44" s="51">
        <v>25.33</v>
      </c>
    </row>
    <row r="45" spans="1:3" x14ac:dyDescent="0.25">
      <c r="A45" s="105"/>
      <c r="B45" s="88" t="s">
        <v>90</v>
      </c>
      <c r="C45" s="51">
        <v>435</v>
      </c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47.25" x14ac:dyDescent="0.25">
      <c r="A48" s="100">
        <v>8</v>
      </c>
      <c r="B48" s="103" t="s">
        <v>51</v>
      </c>
      <c r="C48" s="80">
        <f t="shared" ref="C48" si="8">C49+C50+C51+C52+C53+C54+C55+C56</f>
        <v>26.520000000000003</v>
      </c>
    </row>
    <row r="49" spans="1:3" x14ac:dyDescent="0.25">
      <c r="A49" s="100"/>
      <c r="B49" s="106" t="s">
        <v>52</v>
      </c>
      <c r="C49" s="51">
        <v>6.79</v>
      </c>
    </row>
    <row r="50" spans="1:3" x14ac:dyDescent="0.25">
      <c r="A50" s="100"/>
      <c r="B50" s="106" t="s">
        <v>53</v>
      </c>
      <c r="C50" s="51">
        <v>2.29</v>
      </c>
    </row>
    <row r="51" spans="1:3" x14ac:dyDescent="0.25">
      <c r="A51" s="100"/>
      <c r="B51" s="106" t="s">
        <v>54</v>
      </c>
      <c r="C51" s="51">
        <v>4.07</v>
      </c>
    </row>
    <row r="52" spans="1:3" x14ac:dyDescent="0.25">
      <c r="A52" s="100"/>
      <c r="B52" s="106" t="s">
        <v>55</v>
      </c>
      <c r="C52" s="51">
        <v>5.52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1.8</v>
      </c>
    </row>
    <row r="55" spans="1:3" x14ac:dyDescent="0.25">
      <c r="A55" s="100"/>
      <c r="B55" s="88" t="s">
        <v>96</v>
      </c>
      <c r="C55" s="51">
        <v>5.23</v>
      </c>
    </row>
    <row r="56" spans="1:3" x14ac:dyDescent="0.25">
      <c r="A56" s="100"/>
      <c r="B56" s="88" t="s">
        <v>97</v>
      </c>
      <c r="C56" s="51">
        <v>0.82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3.59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10.23</v>
      </c>
    </row>
    <row r="60" spans="1:3" x14ac:dyDescent="0.25">
      <c r="A60" s="100"/>
      <c r="B60" s="82" t="s">
        <v>58</v>
      </c>
      <c r="C60" s="51">
        <v>7.1</v>
      </c>
    </row>
    <row r="61" spans="1:3" x14ac:dyDescent="0.25">
      <c r="A61" s="100"/>
      <c r="B61" s="82" t="s">
        <v>59</v>
      </c>
      <c r="C61" s="51">
        <v>3.13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351.35</v>
      </c>
    </row>
    <row r="63" spans="1:3" x14ac:dyDescent="0.25">
      <c r="A63" s="100">
        <v>11</v>
      </c>
      <c r="B63" s="76" t="s">
        <v>61</v>
      </c>
      <c r="C63" s="51">
        <v>76.959999999999994</v>
      </c>
    </row>
    <row r="64" spans="1:3" x14ac:dyDescent="0.25">
      <c r="A64" s="100">
        <v>12</v>
      </c>
      <c r="B64" s="108" t="s">
        <v>62</v>
      </c>
      <c r="C64" s="51">
        <v>203.68</v>
      </c>
    </row>
    <row r="65" spans="1:3" x14ac:dyDescent="0.25">
      <c r="A65" s="100">
        <v>13</v>
      </c>
      <c r="B65" s="108" t="s">
        <v>46</v>
      </c>
      <c r="C65" s="51">
        <v>47.98</v>
      </c>
    </row>
    <row r="66" spans="1:3" x14ac:dyDescent="0.25">
      <c r="A66" s="100">
        <v>14</v>
      </c>
      <c r="B66" s="103" t="s">
        <v>63</v>
      </c>
      <c r="C66" s="80">
        <f t="shared" ref="C66" si="11">C68</f>
        <v>3.32</v>
      </c>
    </row>
    <row r="67" spans="1:3" x14ac:dyDescent="0.25">
      <c r="A67" s="109"/>
      <c r="B67" s="106" t="s">
        <v>99</v>
      </c>
      <c r="C67" s="51">
        <v>6.54</v>
      </c>
    </row>
    <row r="68" spans="1:3" x14ac:dyDescent="0.25">
      <c r="A68" s="100"/>
      <c r="B68" s="108" t="s">
        <v>64</v>
      </c>
      <c r="C68" s="51">
        <v>3.32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19.41</v>
      </c>
    </row>
    <row r="70" spans="1:3" x14ac:dyDescent="0.25">
      <c r="A70" s="100"/>
      <c r="B70" s="82" t="s">
        <v>66</v>
      </c>
      <c r="C70" s="51">
        <v>0.28000000000000003</v>
      </c>
    </row>
    <row r="71" spans="1:3" x14ac:dyDescent="0.25">
      <c r="A71" s="100"/>
      <c r="B71" s="82" t="s">
        <v>67</v>
      </c>
      <c r="C71" s="51">
        <v>5.36</v>
      </c>
    </row>
    <row r="72" spans="1:3" x14ac:dyDescent="0.25">
      <c r="A72" s="100"/>
      <c r="B72" s="82" t="s">
        <v>68</v>
      </c>
      <c r="C72" s="51">
        <v>2.66</v>
      </c>
    </row>
    <row r="73" spans="1:3" x14ac:dyDescent="0.25">
      <c r="A73" s="112"/>
      <c r="B73" s="82" t="s">
        <v>69</v>
      </c>
      <c r="C73" s="51">
        <v>2.2000000000000002</v>
      </c>
    </row>
    <row r="74" spans="1:3" x14ac:dyDescent="0.25">
      <c r="A74" s="112"/>
      <c r="B74" s="82" t="s">
        <v>70</v>
      </c>
      <c r="C74" s="87">
        <v>0.26</v>
      </c>
    </row>
    <row r="75" spans="1:3" x14ac:dyDescent="0.25">
      <c r="A75" s="112"/>
      <c r="B75" s="82" t="s">
        <v>71</v>
      </c>
      <c r="C75" s="87">
        <v>0.75</v>
      </c>
    </row>
    <row r="76" spans="1:3" x14ac:dyDescent="0.25">
      <c r="A76" s="112"/>
      <c r="B76" s="82" t="s">
        <v>72</v>
      </c>
      <c r="C76" s="87">
        <v>0.38</v>
      </c>
    </row>
    <row r="77" spans="1:3" x14ac:dyDescent="0.25">
      <c r="A77" s="100"/>
      <c r="B77" s="82" t="s">
        <v>98</v>
      </c>
      <c r="C77" s="51">
        <v>3.67</v>
      </c>
    </row>
    <row r="78" spans="1:3" x14ac:dyDescent="0.25">
      <c r="A78" s="100"/>
      <c r="B78" s="82" t="s">
        <v>73</v>
      </c>
      <c r="C78" s="51">
        <v>0.14000000000000001</v>
      </c>
    </row>
    <row r="79" spans="1:3" x14ac:dyDescent="0.25">
      <c r="A79" s="100"/>
      <c r="B79" s="82" t="s">
        <v>100</v>
      </c>
      <c r="C79" s="51">
        <v>0.01</v>
      </c>
    </row>
    <row r="80" spans="1:3" x14ac:dyDescent="0.25">
      <c r="A80" s="113"/>
      <c r="B80" s="82" t="s">
        <v>74</v>
      </c>
      <c r="C80" s="51">
        <v>3.36</v>
      </c>
    </row>
    <row r="81" spans="1:3" x14ac:dyDescent="0.25">
      <c r="A81" s="114"/>
      <c r="B81" s="82" t="s">
        <v>75</v>
      </c>
      <c r="C81" s="51">
        <v>52.1</v>
      </c>
    </row>
    <row r="82" spans="1:3" x14ac:dyDescent="0.25">
      <c r="A82" s="114"/>
      <c r="B82" s="108" t="s">
        <v>76</v>
      </c>
      <c r="C82" s="51">
        <v>0.34</v>
      </c>
    </row>
    <row r="83" spans="1:3" x14ac:dyDescent="0.25">
      <c r="A83" s="115">
        <v>18</v>
      </c>
      <c r="B83" s="102" t="s">
        <v>77</v>
      </c>
      <c r="C83" s="51">
        <v>26.7</v>
      </c>
    </row>
    <row r="84" spans="1:3" ht="18" x14ac:dyDescent="0.25">
      <c r="A84" s="116">
        <v>19</v>
      </c>
      <c r="B84" s="79" t="s">
        <v>30</v>
      </c>
      <c r="C84" s="117">
        <v>112.94</v>
      </c>
    </row>
    <row r="85" spans="1:3" ht="29.25" x14ac:dyDescent="0.25">
      <c r="A85" s="118"/>
      <c r="B85" s="119" t="s">
        <v>105</v>
      </c>
      <c r="C85" s="120">
        <f t="shared" ref="C85" si="13">C22-C34</f>
        <v>-58.016000000000076</v>
      </c>
    </row>
    <row r="86" spans="1:3" ht="31.5" x14ac:dyDescent="0.25">
      <c r="A86" s="60"/>
      <c r="B86" s="61" t="s">
        <v>92</v>
      </c>
      <c r="C86" s="80">
        <v>265.73</v>
      </c>
    </row>
    <row r="87" spans="1:3" x14ac:dyDescent="0.25">
      <c r="C87" s="86"/>
    </row>
  </sheetData>
  <pageMargins left="0.7" right="0.7" top="0.32" bottom="0.2" header="0.3" footer="0.2"/>
  <pageSetup paperSize="9" scale="4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87"/>
  <sheetViews>
    <sheetView view="pageBreakPreview" zoomScale="60" zoomScaleNormal="100" workbookViewId="0">
      <selection activeCell="K82" sqref="K82"/>
    </sheetView>
  </sheetViews>
  <sheetFormatPr defaultRowHeight="15.75" x14ac:dyDescent="0.25"/>
  <cols>
    <col min="1" max="1" width="20.42578125" style="52" customWidth="1"/>
    <col min="2" max="2" width="80.85546875" style="55" customWidth="1"/>
    <col min="3" max="3" width="26.7109375" style="55" customWidth="1"/>
  </cols>
  <sheetData>
    <row r="1" spans="1:3" x14ac:dyDescent="0.25">
      <c r="B1" s="53" t="s">
        <v>87</v>
      </c>
    </row>
    <row r="2" spans="1:3" x14ac:dyDescent="0.25">
      <c r="B2" s="59"/>
    </row>
    <row r="3" spans="1:3" x14ac:dyDescent="0.25">
      <c r="A3" s="60"/>
      <c r="B3" s="61"/>
      <c r="C3" s="61" t="s">
        <v>17</v>
      </c>
    </row>
    <row r="4" spans="1:3" x14ac:dyDescent="0.25">
      <c r="A4" s="65" t="s">
        <v>24</v>
      </c>
      <c r="B4" s="66" t="s">
        <v>25</v>
      </c>
      <c r="C4" s="66" t="s">
        <v>26</v>
      </c>
    </row>
    <row r="5" spans="1:3" x14ac:dyDescent="0.25">
      <c r="A5" s="60"/>
      <c r="B5" s="61" t="s">
        <v>27</v>
      </c>
      <c r="C5" s="61">
        <v>7.73</v>
      </c>
    </row>
    <row r="6" spans="1:3" x14ac:dyDescent="0.25">
      <c r="A6" s="67"/>
      <c r="B6" s="68" t="s">
        <v>89</v>
      </c>
      <c r="C6" s="70">
        <v>375.07</v>
      </c>
    </row>
    <row r="7" spans="1:3" ht="20.25" x14ac:dyDescent="0.3">
      <c r="A7" s="72">
        <v>1</v>
      </c>
      <c r="B7" s="73" t="s">
        <v>28</v>
      </c>
      <c r="C7" s="69">
        <f t="shared" ref="C7" si="0">C8+C9+C10</f>
        <v>2591.4648000000002</v>
      </c>
    </row>
    <row r="8" spans="1:3" ht="20.25" x14ac:dyDescent="0.3">
      <c r="A8" s="72">
        <v>2</v>
      </c>
      <c r="B8" s="76" t="s">
        <v>29</v>
      </c>
      <c r="C8" s="78">
        <f>25.73*7.73*12</f>
        <v>2386.7148000000002</v>
      </c>
    </row>
    <row r="9" spans="1:3" ht="20.25" x14ac:dyDescent="0.3">
      <c r="A9" s="72">
        <v>3</v>
      </c>
      <c r="B9" s="79" t="s">
        <v>30</v>
      </c>
      <c r="C9" s="80">
        <v>168.77</v>
      </c>
    </row>
    <row r="10" spans="1:3" ht="20.25" x14ac:dyDescent="0.3">
      <c r="A10" s="72">
        <v>4</v>
      </c>
      <c r="B10" s="79" t="s">
        <v>31</v>
      </c>
      <c r="C10" s="80">
        <f t="shared" ref="C10" si="1">C11+C12+C13+C14+C15+C16+C18</f>
        <v>35.979999999999997</v>
      </c>
    </row>
    <row r="11" spans="1:3" x14ac:dyDescent="0.25">
      <c r="A11" s="81"/>
      <c r="B11" s="82" t="s">
        <v>32</v>
      </c>
      <c r="C11" s="70"/>
    </row>
    <row r="12" spans="1:3" x14ac:dyDescent="0.25">
      <c r="A12" s="81"/>
      <c r="B12" s="82" t="s">
        <v>33</v>
      </c>
      <c r="C12" s="70">
        <v>11.53</v>
      </c>
    </row>
    <row r="13" spans="1:3" ht="30" x14ac:dyDescent="0.25">
      <c r="A13" s="81"/>
      <c r="B13" s="82" t="s">
        <v>34</v>
      </c>
      <c r="C13" s="70"/>
    </row>
    <row r="14" spans="1:3" x14ac:dyDescent="0.25">
      <c r="A14" s="81"/>
      <c r="B14" s="82" t="s">
        <v>35</v>
      </c>
      <c r="C14" s="87">
        <v>19.09</v>
      </c>
    </row>
    <row r="15" spans="1:3" x14ac:dyDescent="0.25">
      <c r="A15" s="81"/>
      <c r="B15" s="88" t="s">
        <v>36</v>
      </c>
      <c r="C15" s="70">
        <v>2.5099999999999998</v>
      </c>
    </row>
    <row r="16" spans="1:3" x14ac:dyDescent="0.25">
      <c r="A16" s="81"/>
      <c r="B16" s="82" t="s">
        <v>37</v>
      </c>
      <c r="C16" s="70">
        <v>2.4</v>
      </c>
    </row>
    <row r="17" spans="1:3" x14ac:dyDescent="0.25">
      <c r="A17" s="89"/>
      <c r="B17" s="82" t="s">
        <v>95</v>
      </c>
      <c r="C17" s="70">
        <v>4.2</v>
      </c>
    </row>
    <row r="18" spans="1:3" x14ac:dyDescent="0.25">
      <c r="A18" s="90"/>
      <c r="B18" s="88" t="s">
        <v>38</v>
      </c>
      <c r="C18" s="70">
        <v>0.45</v>
      </c>
    </row>
    <row r="19" spans="1:3" x14ac:dyDescent="0.25">
      <c r="A19" s="90"/>
      <c r="B19" s="88" t="s">
        <v>101</v>
      </c>
      <c r="C19" s="70">
        <v>7.12</v>
      </c>
    </row>
    <row r="20" spans="1:3" x14ac:dyDescent="0.25">
      <c r="A20" s="90"/>
      <c r="B20" s="88" t="s">
        <v>102</v>
      </c>
      <c r="C20" s="70">
        <v>5.85</v>
      </c>
    </row>
    <row r="21" spans="1:3" ht="18.75" x14ac:dyDescent="0.25">
      <c r="A21" s="92"/>
      <c r="B21" s="93" t="s">
        <v>39</v>
      </c>
      <c r="C21" s="94">
        <f t="shared" ref="C21" si="2">C7/C22*100</f>
        <v>100.10739044011846</v>
      </c>
    </row>
    <row r="22" spans="1:3" ht="20.25" x14ac:dyDescent="0.3">
      <c r="A22" s="72">
        <v>1</v>
      </c>
      <c r="B22" s="73" t="s">
        <v>40</v>
      </c>
      <c r="C22" s="69">
        <f t="shared" ref="C22" si="3">C23+C24+C25</f>
        <v>2588.6848</v>
      </c>
    </row>
    <row r="23" spans="1:3" ht="20.25" x14ac:dyDescent="0.3">
      <c r="A23" s="72">
        <v>2</v>
      </c>
      <c r="B23" s="76" t="s">
        <v>29</v>
      </c>
      <c r="C23" s="78">
        <f>25.73*7.73*12</f>
        <v>2386.7148000000002</v>
      </c>
    </row>
    <row r="24" spans="1:3" ht="20.25" x14ac:dyDescent="0.3">
      <c r="A24" s="72">
        <v>3</v>
      </c>
      <c r="B24" s="79" t="s">
        <v>30</v>
      </c>
      <c r="C24" s="80">
        <v>169.22</v>
      </c>
    </row>
    <row r="25" spans="1:3" ht="20.25" x14ac:dyDescent="0.3">
      <c r="A25" s="72">
        <v>4</v>
      </c>
      <c r="B25" s="79" t="s">
        <v>31</v>
      </c>
      <c r="C25" s="80">
        <f t="shared" ref="C25" si="4">C26+C27+C28+C29+C30+C31+C32</f>
        <v>32.75</v>
      </c>
    </row>
    <row r="26" spans="1:3" x14ac:dyDescent="0.25">
      <c r="A26" s="81"/>
      <c r="B26" s="82" t="s">
        <v>32</v>
      </c>
      <c r="C26" s="70"/>
    </row>
    <row r="27" spans="1:3" x14ac:dyDescent="0.25">
      <c r="A27" s="81"/>
      <c r="B27" s="82" t="s">
        <v>33</v>
      </c>
      <c r="C27" s="70">
        <v>11.53</v>
      </c>
    </row>
    <row r="28" spans="1:3" ht="30" x14ac:dyDescent="0.25">
      <c r="A28" s="81"/>
      <c r="B28" s="82" t="s">
        <v>34</v>
      </c>
      <c r="C28" s="70"/>
    </row>
    <row r="29" spans="1:3" x14ac:dyDescent="0.25">
      <c r="A29" s="81"/>
      <c r="B29" s="82" t="s">
        <v>35</v>
      </c>
      <c r="C29" s="87">
        <v>16.88</v>
      </c>
    </row>
    <row r="30" spans="1:3" x14ac:dyDescent="0.25">
      <c r="A30" s="81"/>
      <c r="B30" s="88" t="s">
        <v>36</v>
      </c>
      <c r="C30" s="70">
        <v>1.49</v>
      </c>
    </row>
    <row r="31" spans="1:3" x14ac:dyDescent="0.25">
      <c r="A31" s="81"/>
      <c r="B31" s="82" t="s">
        <v>37</v>
      </c>
      <c r="C31" s="70">
        <v>2.4</v>
      </c>
    </row>
    <row r="32" spans="1:3" x14ac:dyDescent="0.25">
      <c r="A32" s="90"/>
      <c r="B32" s="88" t="s">
        <v>38</v>
      </c>
      <c r="C32" s="70">
        <v>0.45</v>
      </c>
    </row>
    <row r="33" spans="1:3" x14ac:dyDescent="0.25">
      <c r="A33" s="90"/>
      <c r="B33" s="82" t="s">
        <v>95</v>
      </c>
      <c r="C33" s="70">
        <v>1.56</v>
      </c>
    </row>
    <row r="34" spans="1:3" x14ac:dyDescent="0.25">
      <c r="A34" s="98"/>
      <c r="B34" s="99" t="s">
        <v>41</v>
      </c>
      <c r="C34" s="80">
        <f t="shared" ref="C34" si="5">C35+C62+C81+C83+C84</f>
        <v>2187.6530000000002</v>
      </c>
    </row>
    <row r="35" spans="1:3" ht="20.25" x14ac:dyDescent="0.25">
      <c r="A35" s="100">
        <v>1</v>
      </c>
      <c r="B35" s="101" t="s">
        <v>42</v>
      </c>
      <c r="C35" s="80">
        <f t="shared" ref="C35" si="6">C36+C38+C39+C40+C41+C48+C59</f>
        <v>1463.893</v>
      </c>
    </row>
    <row r="36" spans="1:3" x14ac:dyDescent="0.25">
      <c r="A36" s="100">
        <v>2</v>
      </c>
      <c r="B36" s="76" t="s">
        <v>43</v>
      </c>
      <c r="C36" s="51">
        <v>436.47</v>
      </c>
    </row>
    <row r="37" spans="1:3" x14ac:dyDescent="0.25">
      <c r="A37" s="100">
        <v>3</v>
      </c>
      <c r="B37" s="79" t="s">
        <v>44</v>
      </c>
      <c r="C37" s="68"/>
    </row>
    <row r="38" spans="1:3" x14ac:dyDescent="0.25">
      <c r="A38" s="100">
        <v>4</v>
      </c>
      <c r="B38" s="102" t="s">
        <v>45</v>
      </c>
      <c r="C38" s="51">
        <v>646.91999999999996</v>
      </c>
    </row>
    <row r="39" spans="1:3" x14ac:dyDescent="0.25">
      <c r="A39" s="100">
        <v>5</v>
      </c>
      <c r="B39" s="102" t="s">
        <v>46</v>
      </c>
      <c r="C39" s="51">
        <v>155.61000000000001</v>
      </c>
    </row>
    <row r="40" spans="1:3" ht="31.5" x14ac:dyDescent="0.25">
      <c r="A40" s="100">
        <v>6</v>
      </c>
      <c r="B40" s="102" t="s">
        <v>47</v>
      </c>
      <c r="C40" s="51">
        <v>26.71</v>
      </c>
    </row>
    <row r="41" spans="1:3" x14ac:dyDescent="0.25">
      <c r="A41" s="100">
        <v>7</v>
      </c>
      <c r="B41" s="103" t="s">
        <v>48</v>
      </c>
      <c r="C41" s="80">
        <f t="shared" ref="C41" si="7">C42+C43+C44+C45+C46+C47</f>
        <v>147.15299999999999</v>
      </c>
    </row>
    <row r="42" spans="1:3" x14ac:dyDescent="0.25">
      <c r="A42" s="100"/>
      <c r="B42" s="88" t="s">
        <v>49</v>
      </c>
      <c r="C42" s="51">
        <f>12.347+32.376+24.96-25</f>
        <v>44.682999999999993</v>
      </c>
    </row>
    <row r="43" spans="1:3" x14ac:dyDescent="0.25">
      <c r="A43" s="100"/>
      <c r="B43" s="88" t="s">
        <v>91</v>
      </c>
      <c r="C43" s="51">
        <f>31.59+37.12</f>
        <v>68.709999999999994</v>
      </c>
    </row>
    <row r="44" spans="1:3" x14ac:dyDescent="0.25">
      <c r="A44" s="81"/>
      <c r="B44" s="88" t="s">
        <v>78</v>
      </c>
      <c r="C44" s="51">
        <v>33.76</v>
      </c>
    </row>
    <row r="45" spans="1:3" x14ac:dyDescent="0.25">
      <c r="A45" s="105"/>
      <c r="B45" s="88" t="s">
        <v>90</v>
      </c>
      <c r="C45" s="51"/>
    </row>
    <row r="46" spans="1:3" x14ac:dyDescent="0.25">
      <c r="A46" s="100"/>
      <c r="B46" s="88" t="s">
        <v>94</v>
      </c>
      <c r="C46" s="51"/>
    </row>
    <row r="47" spans="1:3" x14ac:dyDescent="0.25">
      <c r="A47" s="100"/>
      <c r="B47" s="88" t="s">
        <v>50</v>
      </c>
      <c r="C47" s="51"/>
    </row>
    <row r="48" spans="1:3" ht="31.5" x14ac:dyDescent="0.25">
      <c r="A48" s="100">
        <v>8</v>
      </c>
      <c r="B48" s="103" t="s">
        <v>51</v>
      </c>
      <c r="C48" s="80">
        <f t="shared" ref="C48" si="8">C49+C50+C51+C52+C53+C54+C55+C56</f>
        <v>37.67</v>
      </c>
    </row>
    <row r="49" spans="1:3" x14ac:dyDescent="0.25">
      <c r="A49" s="100"/>
      <c r="B49" s="106" t="s">
        <v>52</v>
      </c>
      <c r="C49" s="51">
        <v>11.36</v>
      </c>
    </row>
    <row r="50" spans="1:3" x14ac:dyDescent="0.25">
      <c r="A50" s="100"/>
      <c r="B50" s="106" t="s">
        <v>53</v>
      </c>
      <c r="C50" s="51">
        <v>3.06</v>
      </c>
    </row>
    <row r="51" spans="1:3" x14ac:dyDescent="0.25">
      <c r="A51" s="100"/>
      <c r="B51" s="106" t="s">
        <v>54</v>
      </c>
      <c r="C51" s="51">
        <v>5.43</v>
      </c>
    </row>
    <row r="52" spans="1:3" x14ac:dyDescent="0.25">
      <c r="A52" s="100"/>
      <c r="B52" s="106" t="s">
        <v>55</v>
      </c>
      <c r="C52" s="51">
        <v>7.36</v>
      </c>
    </row>
    <row r="53" spans="1:3" x14ac:dyDescent="0.25">
      <c r="A53" s="100"/>
      <c r="B53" s="106" t="s">
        <v>93</v>
      </c>
      <c r="C53" s="51"/>
    </row>
    <row r="54" spans="1:3" x14ac:dyDescent="0.25">
      <c r="A54" s="100"/>
      <c r="B54" s="88" t="s">
        <v>56</v>
      </c>
      <c r="C54" s="51">
        <v>2.4</v>
      </c>
    </row>
    <row r="55" spans="1:3" x14ac:dyDescent="0.25">
      <c r="A55" s="100"/>
      <c r="B55" s="88" t="s">
        <v>96</v>
      </c>
      <c r="C55" s="51">
        <v>6.97</v>
      </c>
    </row>
    <row r="56" spans="1:3" x14ac:dyDescent="0.25">
      <c r="A56" s="100"/>
      <c r="B56" s="88" t="s">
        <v>97</v>
      </c>
      <c r="C56" s="51">
        <v>1.0900000000000001</v>
      </c>
    </row>
    <row r="57" spans="1:3" x14ac:dyDescent="0.25">
      <c r="A57" s="100"/>
      <c r="B57" s="88" t="s">
        <v>103</v>
      </c>
      <c r="C57" s="51"/>
    </row>
    <row r="58" spans="1:3" x14ac:dyDescent="0.25">
      <c r="A58" s="100"/>
      <c r="B58" s="88" t="s">
        <v>104</v>
      </c>
      <c r="C58" s="51">
        <v>4.74</v>
      </c>
    </row>
    <row r="59" spans="1:3" x14ac:dyDescent="0.25">
      <c r="A59" s="100">
        <v>9</v>
      </c>
      <c r="B59" s="102" t="s">
        <v>57</v>
      </c>
      <c r="C59" s="107">
        <f t="shared" ref="C59" si="9">C60+C61</f>
        <v>13.360000000000001</v>
      </c>
    </row>
    <row r="60" spans="1:3" x14ac:dyDescent="0.25">
      <c r="A60" s="100"/>
      <c r="B60" s="82" t="s">
        <v>58</v>
      </c>
      <c r="C60" s="51">
        <v>9.4600000000000009</v>
      </c>
    </row>
    <row r="61" spans="1:3" x14ac:dyDescent="0.25">
      <c r="A61" s="100"/>
      <c r="B61" s="82" t="s">
        <v>59</v>
      </c>
      <c r="C61" s="51">
        <v>3.9</v>
      </c>
    </row>
    <row r="62" spans="1:3" x14ac:dyDescent="0.25">
      <c r="A62" s="100">
        <v>10</v>
      </c>
      <c r="B62" s="76" t="s">
        <v>60</v>
      </c>
      <c r="C62" s="80">
        <f t="shared" ref="C62" si="10">C63+C64+C65+C66+C69</f>
        <v>468.21</v>
      </c>
    </row>
    <row r="63" spans="1:3" x14ac:dyDescent="0.25">
      <c r="A63" s="100">
        <v>11</v>
      </c>
      <c r="B63" s="76" t="s">
        <v>61</v>
      </c>
      <c r="C63" s="51">
        <v>102.57</v>
      </c>
    </row>
    <row r="64" spans="1:3" x14ac:dyDescent="0.25">
      <c r="A64" s="100">
        <v>12</v>
      </c>
      <c r="B64" s="108" t="s">
        <v>62</v>
      </c>
      <c r="C64" s="51">
        <v>271.45</v>
      </c>
    </row>
    <row r="65" spans="1:3" x14ac:dyDescent="0.25">
      <c r="A65" s="100">
        <v>13</v>
      </c>
      <c r="B65" s="108" t="s">
        <v>46</v>
      </c>
      <c r="C65" s="51">
        <v>63.94</v>
      </c>
    </row>
    <row r="66" spans="1:3" x14ac:dyDescent="0.25">
      <c r="A66" s="100">
        <v>14</v>
      </c>
      <c r="B66" s="103" t="s">
        <v>63</v>
      </c>
      <c r="C66" s="80">
        <f t="shared" ref="C66" si="11">C68</f>
        <v>4.43</v>
      </c>
    </row>
    <row r="67" spans="1:3" x14ac:dyDescent="0.25">
      <c r="A67" s="109"/>
      <c r="B67" s="106" t="s">
        <v>99</v>
      </c>
      <c r="C67" s="51">
        <v>8.6999999999999993</v>
      </c>
    </row>
    <row r="68" spans="1:3" x14ac:dyDescent="0.25">
      <c r="A68" s="100"/>
      <c r="B68" s="108" t="s">
        <v>64</v>
      </c>
      <c r="C68" s="51">
        <v>4.43</v>
      </c>
    </row>
    <row r="69" spans="1:3" x14ac:dyDescent="0.25">
      <c r="A69" s="100">
        <v>15</v>
      </c>
      <c r="B69" s="79" t="s">
        <v>65</v>
      </c>
      <c r="C69" s="80">
        <f t="shared" ref="C69" si="12">C70+C71+C72+C73+C74+C75+C76+C77+C78+C79+C80+C82</f>
        <v>25.82</v>
      </c>
    </row>
    <row r="70" spans="1:3" x14ac:dyDescent="0.25">
      <c r="A70" s="100"/>
      <c r="B70" s="82" t="s">
        <v>66</v>
      </c>
      <c r="C70" s="51">
        <v>0.27</v>
      </c>
    </row>
    <row r="71" spans="1:3" x14ac:dyDescent="0.25">
      <c r="A71" s="100"/>
      <c r="B71" s="82" t="s">
        <v>67</v>
      </c>
      <c r="C71" s="51">
        <v>7.14</v>
      </c>
    </row>
    <row r="72" spans="1:3" x14ac:dyDescent="0.25">
      <c r="A72" s="100"/>
      <c r="B72" s="82" t="s">
        <v>68</v>
      </c>
      <c r="C72" s="51">
        <v>3.54</v>
      </c>
    </row>
    <row r="73" spans="1:3" x14ac:dyDescent="0.25">
      <c r="A73" s="112"/>
      <c r="B73" s="82" t="s">
        <v>69</v>
      </c>
      <c r="C73" s="51">
        <v>2.94</v>
      </c>
    </row>
    <row r="74" spans="1:3" x14ac:dyDescent="0.25">
      <c r="A74" s="112"/>
      <c r="B74" s="82" t="s">
        <v>70</v>
      </c>
      <c r="C74" s="87">
        <v>0.37</v>
      </c>
    </row>
    <row r="75" spans="1:3" x14ac:dyDescent="0.25">
      <c r="A75" s="112"/>
      <c r="B75" s="82" t="s">
        <v>71</v>
      </c>
      <c r="C75" s="87">
        <v>0.99</v>
      </c>
    </row>
    <row r="76" spans="1:3" x14ac:dyDescent="0.25">
      <c r="A76" s="112"/>
      <c r="B76" s="82" t="s">
        <v>72</v>
      </c>
      <c r="C76" s="87">
        <v>0.51</v>
      </c>
    </row>
    <row r="77" spans="1:3" x14ac:dyDescent="0.25">
      <c r="A77" s="100"/>
      <c r="B77" s="82" t="s">
        <v>98</v>
      </c>
      <c r="C77" s="51">
        <v>4.91</v>
      </c>
    </row>
    <row r="78" spans="1:3" x14ac:dyDescent="0.25">
      <c r="A78" s="100"/>
      <c r="B78" s="82" t="s">
        <v>73</v>
      </c>
      <c r="C78" s="51">
        <v>0.19</v>
      </c>
    </row>
    <row r="79" spans="1:3" x14ac:dyDescent="0.25">
      <c r="A79" s="100"/>
      <c r="B79" s="82" t="s">
        <v>100</v>
      </c>
      <c r="C79" s="51">
        <v>0.03</v>
      </c>
    </row>
    <row r="80" spans="1:3" x14ac:dyDescent="0.25">
      <c r="A80" s="113"/>
      <c r="B80" s="82" t="s">
        <v>74</v>
      </c>
      <c r="C80" s="51">
        <v>4.4800000000000004</v>
      </c>
    </row>
    <row r="81" spans="1:3" x14ac:dyDescent="0.25">
      <c r="A81" s="114"/>
      <c r="B81" s="82" t="s">
        <v>75</v>
      </c>
      <c r="C81" s="51">
        <v>69.430000000000007</v>
      </c>
    </row>
    <row r="82" spans="1:3" x14ac:dyDescent="0.25">
      <c r="A82" s="114"/>
      <c r="B82" s="108" t="s">
        <v>76</v>
      </c>
      <c r="C82" s="51">
        <v>0.45</v>
      </c>
    </row>
    <row r="83" spans="1:3" x14ac:dyDescent="0.25">
      <c r="A83" s="115">
        <v>18</v>
      </c>
      <c r="B83" s="102" t="s">
        <v>77</v>
      </c>
      <c r="C83" s="51">
        <v>35.6</v>
      </c>
    </row>
    <row r="84" spans="1:3" ht="18" x14ac:dyDescent="0.25">
      <c r="A84" s="116">
        <v>19</v>
      </c>
      <c r="B84" s="79" t="s">
        <v>30</v>
      </c>
      <c r="C84" s="117">
        <v>150.52000000000001</v>
      </c>
    </row>
    <row r="85" spans="1:3" ht="18" x14ac:dyDescent="0.25">
      <c r="A85" s="118"/>
      <c r="B85" s="119" t="s">
        <v>105</v>
      </c>
      <c r="C85" s="120">
        <f t="shared" ref="C85" si="13">C22-C34</f>
        <v>401.03179999999975</v>
      </c>
    </row>
    <row r="86" spans="1:3" ht="31.5" x14ac:dyDescent="0.25">
      <c r="A86" s="60"/>
      <c r="B86" s="61" t="s">
        <v>92</v>
      </c>
      <c r="C86" s="80">
        <v>432.04</v>
      </c>
    </row>
    <row r="87" spans="1:3" x14ac:dyDescent="0.25">
      <c r="C87" s="86"/>
    </row>
  </sheetData>
  <pageMargins left="0.7" right="0.7" top="0.32" bottom="0.32" header="0.3" footer="0.3"/>
  <pageSetup paperSize="9" scale="4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28</vt:i4>
      </vt:variant>
    </vt:vector>
  </HeadingPairs>
  <TitlesOfParts>
    <vt:vector size="59" baseType="lpstr">
      <vt:lpstr>общая за 2023 г.</vt:lpstr>
      <vt:lpstr>с 6б</vt:lpstr>
      <vt:lpstr>с 7</vt:lpstr>
      <vt:lpstr>с 7а</vt:lpstr>
      <vt:lpstr>с 8</vt:lpstr>
      <vt:lpstr>с 8а </vt:lpstr>
      <vt:lpstr>с 9</vt:lpstr>
      <vt:lpstr>с 9а </vt:lpstr>
      <vt:lpstr>с 6</vt:lpstr>
      <vt:lpstr>с 6а</vt:lpstr>
      <vt:lpstr>с 5</vt:lpstr>
      <vt:lpstr>с 5а</vt:lpstr>
      <vt:lpstr>с 16</vt:lpstr>
      <vt:lpstr>с 17</vt:lpstr>
      <vt:lpstr>с 3</vt:lpstr>
      <vt:lpstr>с 15</vt:lpstr>
      <vt:lpstr>с 12</vt:lpstr>
      <vt:lpstr>с 13</vt:lpstr>
      <vt:lpstr>с 14</vt:lpstr>
      <vt:lpstr>с 11</vt:lpstr>
      <vt:lpstr>с 10</vt:lpstr>
      <vt:lpstr>с 1а </vt:lpstr>
      <vt:lpstr>с 1</vt:lpstr>
      <vt:lpstr>в 1а</vt:lpstr>
      <vt:lpstr>в 2</vt:lpstr>
      <vt:lpstr>в 1б</vt:lpstr>
      <vt:lpstr>в 2а</vt:lpstr>
      <vt:lpstr>в 3</vt:lpstr>
      <vt:lpstr>в 3а</vt:lpstr>
      <vt:lpstr>в 1</vt:lpstr>
      <vt:lpstr>в 6</vt:lpstr>
      <vt:lpstr>'в 1'!Область_печати</vt:lpstr>
      <vt:lpstr>'в 1а'!Область_печати</vt:lpstr>
      <vt:lpstr>'в 1б'!Область_печати</vt:lpstr>
      <vt:lpstr>'в 2'!Область_печати</vt:lpstr>
      <vt:lpstr>'в 2а'!Область_печати</vt:lpstr>
      <vt:lpstr>'в 3'!Область_печати</vt:lpstr>
      <vt:lpstr>'в 3а'!Область_печати</vt:lpstr>
      <vt:lpstr>'в 6'!Область_печати</vt:lpstr>
      <vt:lpstr>'с 1'!Область_печати</vt:lpstr>
      <vt:lpstr>'с 10'!Область_печати</vt:lpstr>
      <vt:lpstr>'с 11'!Область_печати</vt:lpstr>
      <vt:lpstr>'с 12'!Область_печати</vt:lpstr>
      <vt:lpstr>'с 13'!Область_печати</vt:lpstr>
      <vt:lpstr>'с 14'!Область_печати</vt:lpstr>
      <vt:lpstr>'с 15'!Область_печати</vt:lpstr>
      <vt:lpstr>'с 16'!Область_печати</vt:lpstr>
      <vt:lpstr>'с 17'!Область_печати</vt:lpstr>
      <vt:lpstr>'с 1а '!Область_печати</vt:lpstr>
      <vt:lpstr>'с 3'!Область_печати</vt:lpstr>
      <vt:lpstr>'с 5'!Область_печати</vt:lpstr>
      <vt:lpstr>'с 5а'!Область_печати</vt:lpstr>
      <vt:lpstr>'с 6'!Область_печати</vt:lpstr>
      <vt:lpstr>'с 6а'!Область_печати</vt:lpstr>
      <vt:lpstr>'с 7а'!Область_печати</vt:lpstr>
      <vt:lpstr>'с 8'!Область_печати</vt:lpstr>
      <vt:lpstr>'с 8а '!Область_печати</vt:lpstr>
      <vt:lpstr>'с 9'!Область_печати</vt:lpstr>
      <vt:lpstr>'с 9а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2024-02-27T10:10:09Z</dcterms:modified>
</cp:coreProperties>
</file>